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ACAC\BOARD\2019-20\Treasurer Reports\Sep 2019\"/>
    </mc:Choice>
  </mc:AlternateContent>
  <bookViews>
    <workbookView xWindow="0" yWindow="0" windowWidth="28800" windowHeight="12585"/>
  </bookViews>
  <sheets>
    <sheet name="Profit and Loss by Class" sheetId="1" r:id="rId1"/>
  </sheets>
  <calcPr calcId="152511"/>
</workbook>
</file>

<file path=xl/calcChain.xml><?xml version="1.0" encoding="utf-8"?>
<calcChain xmlns="http://schemas.openxmlformats.org/spreadsheetml/2006/main">
  <c r="H7" i="1" l="1"/>
  <c r="AS55" i="1"/>
  <c r="AR55" i="1"/>
  <c r="AK55" i="1"/>
  <c r="AJ55" i="1"/>
  <c r="AL55" i="1" s="1"/>
  <c r="AB55" i="1"/>
  <c r="AW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H54" i="1"/>
  <c r="AG54" i="1"/>
  <c r="AF54" i="1"/>
  <c r="AE54" i="1"/>
  <c r="AD54" i="1"/>
  <c r="AC54" i="1"/>
  <c r="AB54" i="1"/>
  <c r="Z54" i="1"/>
  <c r="Y54" i="1"/>
  <c r="AA54" i="1" s="1"/>
  <c r="W54" i="1"/>
  <c r="V54" i="1"/>
  <c r="X54" i="1" s="1"/>
  <c r="U54" i="1"/>
  <c r="S54" i="1"/>
  <c r="R54" i="1"/>
  <c r="Q54" i="1"/>
  <c r="P54" i="1"/>
  <c r="O54" i="1"/>
  <c r="N54" i="1"/>
  <c r="M54" i="1"/>
  <c r="L54" i="1"/>
  <c r="K54" i="1"/>
  <c r="J54" i="1"/>
  <c r="T54" i="1" s="1"/>
  <c r="H54" i="1"/>
  <c r="G54" i="1"/>
  <c r="F54" i="1"/>
  <c r="E54" i="1"/>
  <c r="D54" i="1"/>
  <c r="C54" i="1"/>
  <c r="B54" i="1"/>
  <c r="AV53" i="1"/>
  <c r="AL53" i="1"/>
  <c r="AI53" i="1"/>
  <c r="AA53" i="1"/>
  <c r="X53" i="1"/>
  <c r="T53" i="1"/>
  <c r="I53" i="1"/>
  <c r="B53" i="1"/>
  <c r="AX53" i="1" s="1"/>
  <c r="AV52" i="1"/>
  <c r="AL52" i="1"/>
  <c r="AI52" i="1"/>
  <c r="AA52" i="1"/>
  <c r="X52" i="1"/>
  <c r="T52" i="1"/>
  <c r="I52" i="1"/>
  <c r="B52" i="1"/>
  <c r="AW50" i="1"/>
  <c r="AW55" i="1" s="1"/>
  <c r="AU50" i="1"/>
  <c r="AU55" i="1" s="1"/>
  <c r="AT50" i="1"/>
  <c r="AS50" i="1"/>
  <c r="AR50" i="1"/>
  <c r="AV50" i="1" s="1"/>
  <c r="AQ50" i="1"/>
  <c r="AQ55" i="1" s="1"/>
  <c r="AP50" i="1"/>
  <c r="AO50" i="1"/>
  <c r="AO55" i="1" s="1"/>
  <c r="AN50" i="1"/>
  <c r="AN55" i="1" s="1"/>
  <c r="AM50" i="1"/>
  <c r="AM55" i="1" s="1"/>
  <c r="AK50" i="1"/>
  <c r="AJ50" i="1"/>
  <c r="AH50" i="1"/>
  <c r="AH55" i="1" s="1"/>
  <c r="AG50" i="1"/>
  <c r="AG55" i="1" s="1"/>
  <c r="AF50" i="1"/>
  <c r="AF55" i="1" s="1"/>
  <c r="AE50" i="1"/>
  <c r="AE55" i="1" s="1"/>
  <c r="AD50" i="1"/>
  <c r="AD55" i="1" s="1"/>
  <c r="AC50" i="1"/>
  <c r="AC55" i="1" s="1"/>
  <c r="AB50" i="1"/>
  <c r="Z50" i="1"/>
  <c r="Z55" i="1" s="1"/>
  <c r="Y50" i="1"/>
  <c r="AA50" i="1" s="1"/>
  <c r="X50" i="1"/>
  <c r="W50" i="1"/>
  <c r="W55" i="1" s="1"/>
  <c r="V50" i="1"/>
  <c r="V55" i="1" s="1"/>
  <c r="X55" i="1" s="1"/>
  <c r="U50" i="1"/>
  <c r="U55" i="1" s="1"/>
  <c r="S50" i="1"/>
  <c r="S55" i="1" s="1"/>
  <c r="R50" i="1"/>
  <c r="Q50" i="1"/>
  <c r="Q55" i="1" s="1"/>
  <c r="P50" i="1"/>
  <c r="P55" i="1" s="1"/>
  <c r="O50" i="1"/>
  <c r="O55" i="1" s="1"/>
  <c r="N50" i="1"/>
  <c r="M50" i="1"/>
  <c r="M55" i="1" s="1"/>
  <c r="L50" i="1"/>
  <c r="L55" i="1" s="1"/>
  <c r="K50" i="1"/>
  <c r="K55" i="1" s="1"/>
  <c r="J50" i="1"/>
  <c r="H50" i="1"/>
  <c r="H55" i="1" s="1"/>
  <c r="G50" i="1"/>
  <c r="G55" i="1" s="1"/>
  <c r="F50" i="1"/>
  <c r="E50" i="1"/>
  <c r="E55" i="1" s="1"/>
  <c r="D50" i="1"/>
  <c r="I50" i="1" s="1"/>
  <c r="C50" i="1"/>
  <c r="C55" i="1" s="1"/>
  <c r="AV49" i="1"/>
  <c r="AL49" i="1"/>
  <c r="AI49" i="1"/>
  <c r="AA49" i="1"/>
  <c r="X49" i="1"/>
  <c r="T49" i="1"/>
  <c r="I49" i="1"/>
  <c r="B49" i="1"/>
  <c r="AX49" i="1" s="1"/>
  <c r="AV48" i="1"/>
  <c r="AL48" i="1"/>
  <c r="AI48" i="1"/>
  <c r="AA48" i="1"/>
  <c r="X48" i="1"/>
  <c r="T48" i="1"/>
  <c r="I48" i="1"/>
  <c r="B48" i="1"/>
  <c r="AX48" i="1" s="1"/>
  <c r="AV47" i="1"/>
  <c r="AL47" i="1"/>
  <c r="AI47" i="1"/>
  <c r="AA47" i="1"/>
  <c r="X47" i="1"/>
  <c r="T47" i="1"/>
  <c r="I47" i="1"/>
  <c r="B47" i="1"/>
  <c r="AX47" i="1" s="1"/>
  <c r="AV46" i="1"/>
  <c r="AL46" i="1"/>
  <c r="AI46" i="1"/>
  <c r="AA46" i="1"/>
  <c r="X46" i="1"/>
  <c r="T46" i="1"/>
  <c r="I46" i="1"/>
  <c r="B46" i="1"/>
  <c r="B50" i="1" s="1"/>
  <c r="AT43" i="1"/>
  <c r="AV42" i="1"/>
  <c r="AL42" i="1"/>
  <c r="AI42" i="1"/>
  <c r="AA42" i="1"/>
  <c r="X42" i="1"/>
  <c r="T42" i="1"/>
  <c r="I42" i="1"/>
  <c r="B42" i="1"/>
  <c r="AV41" i="1"/>
  <c r="AL41" i="1"/>
  <c r="AI41" i="1"/>
  <c r="AA41" i="1"/>
  <c r="X41" i="1"/>
  <c r="U41" i="1"/>
  <c r="T41" i="1"/>
  <c r="I41" i="1"/>
  <c r="B41" i="1"/>
  <c r="AU40" i="1"/>
  <c r="AT40" i="1"/>
  <c r="AS40" i="1"/>
  <c r="AQ40" i="1"/>
  <c r="AP40" i="1"/>
  <c r="AO40" i="1"/>
  <c r="AM40" i="1"/>
  <c r="AJ40" i="1"/>
  <c r="AE40" i="1"/>
  <c r="AD40" i="1"/>
  <c r="Y40" i="1"/>
  <c r="W40" i="1"/>
  <c r="U40" i="1"/>
  <c r="S40" i="1"/>
  <c r="R40" i="1"/>
  <c r="Q40" i="1"/>
  <c r="O40" i="1"/>
  <c r="N40" i="1"/>
  <c r="M40" i="1"/>
  <c r="L40" i="1"/>
  <c r="J40" i="1"/>
  <c r="D40" i="1"/>
  <c r="C40" i="1"/>
  <c r="B40" i="1"/>
  <c r="AU39" i="1"/>
  <c r="AP39" i="1"/>
  <c r="AK39" i="1"/>
  <c r="AL39" i="1" s="1"/>
  <c r="AI39" i="1"/>
  <c r="AC39" i="1"/>
  <c r="AA39" i="1"/>
  <c r="V39" i="1"/>
  <c r="T39" i="1"/>
  <c r="F39" i="1"/>
  <c r="I39" i="1" s="1"/>
  <c r="B39" i="1"/>
  <c r="AU38" i="1"/>
  <c r="AP38" i="1"/>
  <c r="AV38" i="1" s="1"/>
  <c r="AL38" i="1"/>
  <c r="AG38" i="1"/>
  <c r="AF38" i="1"/>
  <c r="AE38" i="1"/>
  <c r="AD38" i="1"/>
  <c r="AC38" i="1"/>
  <c r="AB38" i="1"/>
  <c r="AI38" i="1" s="1"/>
  <c r="AA38" i="1"/>
  <c r="X38" i="1"/>
  <c r="P38" i="1"/>
  <c r="I38" i="1"/>
  <c r="G38" i="1"/>
  <c r="F38" i="1"/>
  <c r="AV37" i="1"/>
  <c r="AU37" i="1"/>
  <c r="AN37" i="1"/>
  <c r="AN40" i="1" s="1"/>
  <c r="AL37" i="1"/>
  <c r="AK37" i="1"/>
  <c r="AH37" i="1"/>
  <c r="AG37" i="1"/>
  <c r="AF37" i="1"/>
  <c r="AE37" i="1"/>
  <c r="AD37" i="1"/>
  <c r="AC37" i="1"/>
  <c r="AA37" i="1"/>
  <c r="X37" i="1"/>
  <c r="T37" i="1"/>
  <c r="H37" i="1"/>
  <c r="I37" i="1" s="1"/>
  <c r="F37" i="1"/>
  <c r="B37" i="1"/>
  <c r="AV36" i="1"/>
  <c r="AR36" i="1"/>
  <c r="AQ36" i="1"/>
  <c r="AP36" i="1"/>
  <c r="AL36" i="1"/>
  <c r="AK36" i="1"/>
  <c r="AH36" i="1"/>
  <c r="AG36" i="1"/>
  <c r="AF36" i="1"/>
  <c r="AE36" i="1"/>
  <c r="AD36" i="1"/>
  <c r="AC36" i="1"/>
  <c r="AB36" i="1"/>
  <c r="AI36" i="1" s="1"/>
  <c r="Z36" i="1"/>
  <c r="AA36" i="1" s="1"/>
  <c r="X36" i="1"/>
  <c r="T36" i="1"/>
  <c r="K36" i="1"/>
  <c r="I36" i="1"/>
  <c r="H36" i="1"/>
  <c r="F36" i="1"/>
  <c r="E36" i="1"/>
  <c r="C36" i="1"/>
  <c r="B36" i="1"/>
  <c r="AX36" i="1" s="1"/>
  <c r="AR35" i="1"/>
  <c r="AQ35" i="1"/>
  <c r="AP35" i="1"/>
  <c r="AV35" i="1" s="1"/>
  <c r="AK35" i="1"/>
  <c r="AL35" i="1" s="1"/>
  <c r="AH35" i="1"/>
  <c r="AG35" i="1"/>
  <c r="AF35" i="1"/>
  <c r="AE35" i="1"/>
  <c r="AD35" i="1"/>
  <c r="AC35" i="1"/>
  <c r="AB35" i="1"/>
  <c r="AI35" i="1" s="1"/>
  <c r="AA35" i="1"/>
  <c r="Z35" i="1"/>
  <c r="X35" i="1"/>
  <c r="T35" i="1"/>
  <c r="K35" i="1"/>
  <c r="H35" i="1"/>
  <c r="G35" i="1"/>
  <c r="F35" i="1"/>
  <c r="B35" i="1"/>
  <c r="AW34" i="1"/>
  <c r="AV34" i="1"/>
  <c r="AR34" i="1"/>
  <c r="AQ34" i="1"/>
  <c r="AP34" i="1"/>
  <c r="AL34" i="1"/>
  <c r="AK34" i="1"/>
  <c r="AH34" i="1"/>
  <c r="AH40" i="1" s="1"/>
  <c r="AG34" i="1"/>
  <c r="AF34" i="1"/>
  <c r="AE34" i="1"/>
  <c r="AD34" i="1"/>
  <c r="AC34" i="1"/>
  <c r="AB34" i="1"/>
  <c r="AI34" i="1" s="1"/>
  <c r="Z34" i="1"/>
  <c r="AA34" i="1" s="1"/>
  <c r="X34" i="1"/>
  <c r="T34" i="1"/>
  <c r="K34" i="1"/>
  <c r="H34" i="1"/>
  <c r="G34" i="1"/>
  <c r="F34" i="1"/>
  <c r="E34" i="1"/>
  <c r="I34" i="1" s="1"/>
  <c r="B34" i="1"/>
  <c r="AW33" i="1"/>
  <c r="AW40" i="1" s="1"/>
  <c r="AV33" i="1"/>
  <c r="AU33" i="1"/>
  <c r="AR33" i="1"/>
  <c r="AR40" i="1" s="1"/>
  <c r="AP33" i="1"/>
  <c r="AL33" i="1"/>
  <c r="AH33" i="1"/>
  <c r="AG33" i="1"/>
  <c r="AG40" i="1" s="1"/>
  <c r="AF33" i="1"/>
  <c r="AF40" i="1" s="1"/>
  <c r="AE33" i="1"/>
  <c r="AD33" i="1"/>
  <c r="AC33" i="1"/>
  <c r="AC40" i="1" s="1"/>
  <c r="AB33" i="1"/>
  <c r="AA33" i="1"/>
  <c r="Z33" i="1"/>
  <c r="X33" i="1"/>
  <c r="T33" i="1"/>
  <c r="K33" i="1"/>
  <c r="K40" i="1" s="1"/>
  <c r="H33" i="1"/>
  <c r="G33" i="1"/>
  <c r="G40" i="1" s="1"/>
  <c r="F33" i="1"/>
  <c r="F40" i="1" s="1"/>
  <c r="F43" i="1" s="1"/>
  <c r="E33" i="1"/>
  <c r="E40" i="1" s="1"/>
  <c r="B33" i="1"/>
  <c r="AV32" i="1"/>
  <c r="AL32" i="1"/>
  <c r="AI32" i="1"/>
  <c r="AA32" i="1"/>
  <c r="X32" i="1"/>
  <c r="AX32" i="1" s="1"/>
  <c r="T32" i="1"/>
  <c r="I32" i="1"/>
  <c r="AV31" i="1"/>
  <c r="AL31" i="1"/>
  <c r="AI31" i="1"/>
  <c r="AA31" i="1"/>
  <c r="X31" i="1"/>
  <c r="T31" i="1"/>
  <c r="I31" i="1"/>
  <c r="B31" i="1"/>
  <c r="AX31" i="1" s="1"/>
  <c r="AV30" i="1"/>
  <c r="AL30" i="1"/>
  <c r="AI30" i="1"/>
  <c r="AA30" i="1"/>
  <c r="X30" i="1"/>
  <c r="T30" i="1"/>
  <c r="I30" i="1"/>
  <c r="B30" i="1"/>
  <c r="AX30" i="1" s="1"/>
  <c r="AU29" i="1"/>
  <c r="AT29" i="1"/>
  <c r="AR29" i="1"/>
  <c r="AV29" i="1" s="1"/>
  <c r="AN29" i="1"/>
  <c r="AL29" i="1"/>
  <c r="AI29" i="1"/>
  <c r="AC29" i="1"/>
  <c r="AB29" i="1"/>
  <c r="AA29" i="1"/>
  <c r="Z29" i="1"/>
  <c r="X29" i="1"/>
  <c r="S29" i="1"/>
  <c r="R29" i="1"/>
  <c r="Q29" i="1"/>
  <c r="P29" i="1"/>
  <c r="N29" i="1"/>
  <c r="T29" i="1" s="1"/>
  <c r="I29" i="1"/>
  <c r="H29" i="1"/>
  <c r="B29" i="1"/>
  <c r="AU28" i="1"/>
  <c r="AT28" i="1"/>
  <c r="AR28" i="1"/>
  <c r="AP28" i="1"/>
  <c r="AV28" i="1" s="1"/>
  <c r="AN28" i="1"/>
  <c r="AJ28" i="1"/>
  <c r="AL28" i="1" s="1"/>
  <c r="AF28" i="1"/>
  <c r="AE28" i="1"/>
  <c r="AC28" i="1"/>
  <c r="AB28" i="1"/>
  <c r="AI28" i="1" s="1"/>
  <c r="AA28" i="1"/>
  <c r="Z28" i="1"/>
  <c r="X28" i="1"/>
  <c r="S28" i="1"/>
  <c r="R28" i="1"/>
  <c r="Q28" i="1"/>
  <c r="P28" i="1"/>
  <c r="O28" i="1"/>
  <c r="N28" i="1"/>
  <c r="M28" i="1"/>
  <c r="L28" i="1"/>
  <c r="T28" i="1" s="1"/>
  <c r="AX28" i="1" s="1"/>
  <c r="J28" i="1"/>
  <c r="E28" i="1"/>
  <c r="I28" i="1" s="1"/>
  <c r="B28" i="1"/>
  <c r="AV27" i="1"/>
  <c r="AL27" i="1"/>
  <c r="AJ27" i="1"/>
  <c r="AF27" i="1"/>
  <c r="AC27" i="1"/>
  <c r="AB27" i="1"/>
  <c r="Z27" i="1"/>
  <c r="AA27" i="1" s="1"/>
  <c r="X27" i="1"/>
  <c r="S27" i="1"/>
  <c r="R27" i="1"/>
  <c r="Q27" i="1"/>
  <c r="P27" i="1"/>
  <c r="O27" i="1"/>
  <c r="N27" i="1"/>
  <c r="M27" i="1"/>
  <c r="L27" i="1"/>
  <c r="T27" i="1" s="1"/>
  <c r="H27" i="1"/>
  <c r="E27" i="1"/>
  <c r="I27" i="1" s="1"/>
  <c r="B27" i="1"/>
  <c r="AU26" i="1"/>
  <c r="AT26" i="1"/>
  <c r="AL26" i="1"/>
  <c r="AG26" i="1"/>
  <c r="AD26" i="1"/>
  <c r="AD43" i="1" s="1"/>
  <c r="AC26" i="1"/>
  <c r="AB26" i="1"/>
  <c r="AA26" i="1"/>
  <c r="X26" i="1"/>
  <c r="V26" i="1"/>
  <c r="P26" i="1"/>
  <c r="J26" i="1"/>
  <c r="T26" i="1" s="1"/>
  <c r="H26" i="1"/>
  <c r="I26" i="1" s="1"/>
  <c r="B26" i="1"/>
  <c r="AV25" i="1"/>
  <c r="AL25" i="1"/>
  <c r="AI25" i="1"/>
  <c r="AA25" i="1"/>
  <c r="X25" i="1"/>
  <c r="T25" i="1"/>
  <c r="I25" i="1"/>
  <c r="B25" i="1"/>
  <c r="AX25" i="1" s="1"/>
  <c r="AP24" i="1"/>
  <c r="AV24" i="1" s="1"/>
  <c r="AM24" i="1"/>
  <c r="AJ24" i="1"/>
  <c r="AL24" i="1" s="1"/>
  <c r="AG24" i="1"/>
  <c r="AF24" i="1"/>
  <c r="AD24" i="1"/>
  <c r="AB24" i="1"/>
  <c r="AA24" i="1"/>
  <c r="Z24" i="1"/>
  <c r="X24" i="1"/>
  <c r="U24" i="1"/>
  <c r="T24" i="1"/>
  <c r="H24" i="1"/>
  <c r="F24" i="1"/>
  <c r="E24" i="1"/>
  <c r="B24" i="1"/>
  <c r="AV23" i="1"/>
  <c r="AL23" i="1"/>
  <c r="AI23" i="1"/>
  <c r="AA23" i="1"/>
  <c r="X23" i="1"/>
  <c r="T23" i="1"/>
  <c r="I23" i="1"/>
  <c r="B23" i="1"/>
  <c r="AX23" i="1" s="1"/>
  <c r="AU22" i="1"/>
  <c r="AS22" i="1"/>
  <c r="AR22" i="1"/>
  <c r="AV22" i="1" s="1"/>
  <c r="AN22" i="1"/>
  <c r="AL22" i="1"/>
  <c r="AH22" i="1"/>
  <c r="AG22" i="1"/>
  <c r="AC22" i="1"/>
  <c r="AB22" i="1"/>
  <c r="Z22" i="1"/>
  <c r="AA22" i="1" s="1"/>
  <c r="X22" i="1"/>
  <c r="R22" i="1"/>
  <c r="P22" i="1"/>
  <c r="O22" i="1"/>
  <c r="M22" i="1"/>
  <c r="L22" i="1"/>
  <c r="J22" i="1"/>
  <c r="T22" i="1" s="1"/>
  <c r="I22" i="1"/>
  <c r="AU21" i="1"/>
  <c r="AV21" i="1" s="1"/>
  <c r="AT21" i="1"/>
  <c r="AR21" i="1"/>
  <c r="AK21" i="1"/>
  <c r="AL21" i="1" s="1"/>
  <c r="AC21" i="1"/>
  <c r="AB21" i="1"/>
  <c r="AI21" i="1" s="1"/>
  <c r="AA21" i="1"/>
  <c r="Z21" i="1"/>
  <c r="V21" i="1"/>
  <c r="X21" i="1" s="1"/>
  <c r="T21" i="1"/>
  <c r="H21" i="1"/>
  <c r="E21" i="1"/>
  <c r="I21" i="1" s="1"/>
  <c r="AV20" i="1"/>
  <c r="AP20" i="1"/>
  <c r="AL20" i="1"/>
  <c r="AI20" i="1"/>
  <c r="AA20" i="1"/>
  <c r="W20" i="1"/>
  <c r="X20" i="1" s="1"/>
  <c r="S20" i="1"/>
  <c r="R20" i="1"/>
  <c r="P20" i="1"/>
  <c r="N20" i="1"/>
  <c r="N43" i="1" s="1"/>
  <c r="J20" i="1"/>
  <c r="H20" i="1"/>
  <c r="G20" i="1"/>
  <c r="AW19" i="1"/>
  <c r="AU19" i="1"/>
  <c r="AT19" i="1"/>
  <c r="AS19" i="1"/>
  <c r="AS43" i="1" s="1"/>
  <c r="AR19" i="1"/>
  <c r="AQ19" i="1"/>
  <c r="AQ43" i="1" s="1"/>
  <c r="AP19" i="1"/>
  <c r="AO19" i="1"/>
  <c r="AO43" i="1" s="1"/>
  <c r="AN19" i="1"/>
  <c r="AM19" i="1"/>
  <c r="AM43" i="1" s="1"/>
  <c r="AK19" i="1"/>
  <c r="AH19" i="1"/>
  <c r="AH43" i="1" s="1"/>
  <c r="AG19" i="1"/>
  <c r="AF19" i="1"/>
  <c r="AE19" i="1"/>
  <c r="AE43" i="1" s="1"/>
  <c r="AD19" i="1"/>
  <c r="AC19" i="1"/>
  <c r="AB19" i="1"/>
  <c r="AA19" i="1"/>
  <c r="Z19" i="1"/>
  <c r="Y19" i="1"/>
  <c r="Y43" i="1" s="1"/>
  <c r="W19" i="1"/>
  <c r="X19" i="1" s="1"/>
  <c r="V19" i="1"/>
  <c r="U19" i="1"/>
  <c r="S19" i="1"/>
  <c r="S43" i="1" s="1"/>
  <c r="P19" i="1"/>
  <c r="O19" i="1"/>
  <c r="O43" i="1" s="1"/>
  <c r="N19" i="1"/>
  <c r="M19" i="1"/>
  <c r="L19" i="1"/>
  <c r="L43" i="1" s="1"/>
  <c r="H19" i="1"/>
  <c r="G19" i="1"/>
  <c r="F19" i="1"/>
  <c r="E19" i="1"/>
  <c r="D19" i="1"/>
  <c r="C19" i="1"/>
  <c r="C43" i="1" s="1"/>
  <c r="AV18" i="1"/>
  <c r="AL18" i="1"/>
  <c r="AI18" i="1"/>
  <c r="AA18" i="1"/>
  <c r="X18" i="1"/>
  <c r="T18" i="1"/>
  <c r="I18" i="1"/>
  <c r="B18" i="1"/>
  <c r="AV17" i="1"/>
  <c r="AL17" i="1"/>
  <c r="AI17" i="1"/>
  <c r="AA17" i="1"/>
  <c r="X17" i="1"/>
  <c r="T17" i="1"/>
  <c r="I17" i="1"/>
  <c r="B17" i="1"/>
  <c r="AX17" i="1" s="1"/>
  <c r="AV16" i="1"/>
  <c r="AJ16" i="1"/>
  <c r="AL16" i="1" s="1"/>
  <c r="AI16" i="1"/>
  <c r="AA16" i="1"/>
  <c r="X16" i="1"/>
  <c r="R16" i="1"/>
  <c r="R19" i="1" s="1"/>
  <c r="R43" i="1" s="1"/>
  <c r="Q16" i="1"/>
  <c r="Q19" i="1" s="1"/>
  <c r="Q43" i="1" s="1"/>
  <c r="O16" i="1"/>
  <c r="L16" i="1"/>
  <c r="K16" i="1"/>
  <c r="K19" i="1" s="1"/>
  <c r="K43" i="1" s="1"/>
  <c r="J16" i="1"/>
  <c r="J19" i="1" s="1"/>
  <c r="T19" i="1" s="1"/>
  <c r="I16" i="1"/>
  <c r="B16" i="1"/>
  <c r="AU15" i="1"/>
  <c r="AV15" i="1" s="1"/>
  <c r="AN15" i="1"/>
  <c r="AL15" i="1"/>
  <c r="AI15" i="1"/>
  <c r="AA15" i="1"/>
  <c r="W15" i="1"/>
  <c r="X15" i="1" s="1"/>
  <c r="V15" i="1"/>
  <c r="J15" i="1"/>
  <c r="I15" i="1"/>
  <c r="B15" i="1"/>
  <c r="AV14" i="1"/>
  <c r="AL14" i="1"/>
  <c r="AI14" i="1"/>
  <c r="AA14" i="1"/>
  <c r="X14" i="1"/>
  <c r="T14" i="1"/>
  <c r="I14" i="1"/>
  <c r="B14" i="1"/>
  <c r="AV13" i="1"/>
  <c r="AL13" i="1"/>
  <c r="AI13" i="1"/>
  <c r="AA13" i="1"/>
  <c r="X13" i="1"/>
  <c r="T13" i="1"/>
  <c r="I13" i="1"/>
  <c r="B13" i="1"/>
  <c r="AX13" i="1" s="1"/>
  <c r="AV12" i="1"/>
  <c r="AL12" i="1"/>
  <c r="AI12" i="1"/>
  <c r="AA12" i="1"/>
  <c r="X12" i="1"/>
  <c r="T12" i="1"/>
  <c r="I12" i="1"/>
  <c r="B12" i="1"/>
  <c r="AU10" i="1"/>
  <c r="AR10" i="1"/>
  <c r="AQ10" i="1"/>
  <c r="AM10" i="1"/>
  <c r="AE10" i="1"/>
  <c r="AE44" i="1" s="1"/>
  <c r="AE56" i="1" s="1"/>
  <c r="AB10" i="1"/>
  <c r="S10" i="1"/>
  <c r="O10" i="1"/>
  <c r="O44" i="1" s="1"/>
  <c r="O56" i="1" s="1"/>
  <c r="L10" i="1"/>
  <c r="L44" i="1" s="1"/>
  <c r="G10" i="1"/>
  <c r="C10" i="1"/>
  <c r="AW9" i="1"/>
  <c r="AW10" i="1" s="1"/>
  <c r="AT9" i="1"/>
  <c r="AT10" i="1" s="1"/>
  <c r="AT44" i="1" s="1"/>
  <c r="AS9" i="1"/>
  <c r="AS10" i="1" s="1"/>
  <c r="AS44" i="1" s="1"/>
  <c r="AS56" i="1" s="1"/>
  <c r="AR9" i="1"/>
  <c r="AQ9" i="1"/>
  <c r="AO9" i="1"/>
  <c r="AO10" i="1" s="1"/>
  <c r="AO44" i="1" s="1"/>
  <c r="AM9" i="1"/>
  <c r="AK9" i="1"/>
  <c r="AK10" i="1" s="1"/>
  <c r="AJ9" i="1"/>
  <c r="AL9" i="1" s="1"/>
  <c r="AH9" i="1"/>
  <c r="AH10" i="1" s="1"/>
  <c r="AH44" i="1" s="1"/>
  <c r="AH56" i="1" s="1"/>
  <c r="AG9" i="1"/>
  <c r="AG10" i="1" s="1"/>
  <c r="AF9" i="1"/>
  <c r="AF10" i="1" s="1"/>
  <c r="AE9" i="1"/>
  <c r="AC9" i="1"/>
  <c r="AC10" i="1" s="1"/>
  <c r="AB9" i="1"/>
  <c r="Y9" i="1"/>
  <c r="U9" i="1"/>
  <c r="U10" i="1" s="1"/>
  <c r="S9" i="1"/>
  <c r="R9" i="1"/>
  <c r="R10" i="1" s="1"/>
  <c r="R44" i="1" s="1"/>
  <c r="Q9" i="1"/>
  <c r="Q10" i="1" s="1"/>
  <c r="Q44" i="1" s="1"/>
  <c r="Q56" i="1" s="1"/>
  <c r="P9" i="1"/>
  <c r="P10" i="1" s="1"/>
  <c r="O9" i="1"/>
  <c r="N9" i="1"/>
  <c r="N10" i="1" s="1"/>
  <c r="M9" i="1"/>
  <c r="M10" i="1" s="1"/>
  <c r="L9" i="1"/>
  <c r="H9" i="1"/>
  <c r="H10" i="1" s="1"/>
  <c r="G9" i="1"/>
  <c r="F9" i="1"/>
  <c r="F10" i="1" s="1"/>
  <c r="D9" i="1"/>
  <c r="C9" i="1"/>
  <c r="B9" i="1"/>
  <c r="B10" i="1" s="1"/>
  <c r="AV8" i="1"/>
  <c r="AU8" i="1"/>
  <c r="AP8" i="1"/>
  <c r="AP9" i="1" s="1"/>
  <c r="AP10" i="1" s="1"/>
  <c r="AN8" i="1"/>
  <c r="AN9" i="1" s="1"/>
  <c r="AN10" i="1" s="1"/>
  <c r="AL8" i="1"/>
  <c r="AI8" i="1"/>
  <c r="AA8" i="1"/>
  <c r="W8" i="1"/>
  <c r="X8" i="1" s="1"/>
  <c r="T8" i="1"/>
  <c r="J8" i="1"/>
  <c r="E8" i="1"/>
  <c r="I8" i="1" s="1"/>
  <c r="AU7" i="1"/>
  <c r="AU9" i="1" s="1"/>
  <c r="AO7" i="1"/>
  <c r="AN7" i="1"/>
  <c r="AL7" i="1"/>
  <c r="AI7" i="1"/>
  <c r="AD7" i="1"/>
  <c r="AD9" i="1" s="1"/>
  <c r="AD10" i="1" s="1"/>
  <c r="AA7" i="1"/>
  <c r="Z7" i="1"/>
  <c r="Z9" i="1" s="1"/>
  <c r="Z10" i="1" s="1"/>
  <c r="X7" i="1"/>
  <c r="W7" i="1"/>
  <c r="V7" i="1"/>
  <c r="V9" i="1" s="1"/>
  <c r="V10" i="1" s="1"/>
  <c r="K7" i="1"/>
  <c r="K9" i="1" s="1"/>
  <c r="K10" i="1" s="1"/>
  <c r="K44" i="1" s="1"/>
  <c r="K56" i="1" s="1"/>
  <c r="J7" i="1"/>
  <c r="I7" i="1"/>
  <c r="E7" i="1"/>
  <c r="AX8" i="1" l="1"/>
  <c r="I9" i="1"/>
  <c r="AC44" i="1"/>
  <c r="AC56" i="1" s="1"/>
  <c r="AX22" i="1"/>
  <c r="D10" i="1"/>
  <c r="AJ10" i="1"/>
  <c r="P40" i="1"/>
  <c r="T38" i="1"/>
  <c r="AX38" i="1" s="1"/>
  <c r="X39" i="1"/>
  <c r="V40" i="1"/>
  <c r="E9" i="1"/>
  <c r="E10" i="1" s="1"/>
  <c r="AV9" i="1"/>
  <c r="AM44" i="1"/>
  <c r="AM56" i="1" s="1"/>
  <c r="AX14" i="1"/>
  <c r="AI19" i="1"/>
  <c r="AI24" i="1"/>
  <c r="AI55" i="1"/>
  <c r="W9" i="1"/>
  <c r="AD44" i="1"/>
  <c r="AD56" i="1" s="1"/>
  <c r="AV7" i="1"/>
  <c r="F44" i="1"/>
  <c r="F56" i="1" s="1"/>
  <c r="AI9" i="1"/>
  <c r="AW44" i="1"/>
  <c r="AW56" i="1" s="1"/>
  <c r="AV10" i="1"/>
  <c r="AN43" i="1"/>
  <c r="AN44" i="1" s="1"/>
  <c r="AN56" i="1" s="1"/>
  <c r="D43" i="1"/>
  <c r="I19" i="1"/>
  <c r="AF43" i="1"/>
  <c r="AF44" i="1" s="1"/>
  <c r="AF56" i="1" s="1"/>
  <c r="AJ19" i="1"/>
  <c r="T20" i="1"/>
  <c r="AX21" i="1"/>
  <c r="AX27" i="1"/>
  <c r="T50" i="1"/>
  <c r="AX50" i="1" s="1"/>
  <c r="D55" i="1"/>
  <c r="N44" i="1"/>
  <c r="AO56" i="1"/>
  <c r="L56" i="1"/>
  <c r="P43" i="1"/>
  <c r="P44" i="1" s="1"/>
  <c r="P56" i="1" s="1"/>
  <c r="AB40" i="1"/>
  <c r="AI40" i="1" s="1"/>
  <c r="AI33" i="1"/>
  <c r="AA9" i="1"/>
  <c r="Y10" i="1"/>
  <c r="W43" i="1"/>
  <c r="B19" i="1"/>
  <c r="T16" i="1"/>
  <c r="AX18" i="1"/>
  <c r="G43" i="1"/>
  <c r="G44" i="1" s="1"/>
  <c r="G56" i="1" s="1"/>
  <c r="AR43" i="1"/>
  <c r="AV43" i="1" s="1"/>
  <c r="AV19" i="1"/>
  <c r="AX29" i="1"/>
  <c r="J9" i="1"/>
  <c r="T7" i="1"/>
  <c r="AX7" i="1" s="1"/>
  <c r="C44" i="1"/>
  <c r="C56" i="1" s="1"/>
  <c r="S44" i="1"/>
  <c r="S56" i="1" s="1"/>
  <c r="AI10" i="1"/>
  <c r="AQ44" i="1"/>
  <c r="AQ56" i="1" s="1"/>
  <c r="B43" i="1"/>
  <c r="AX12" i="1"/>
  <c r="J43" i="1"/>
  <c r="T15" i="1"/>
  <c r="AX15" i="1" s="1"/>
  <c r="AX16" i="1"/>
  <c r="AP43" i="1"/>
  <c r="AP44" i="1" s="1"/>
  <c r="I20" i="1"/>
  <c r="AX20" i="1" s="1"/>
  <c r="T40" i="1"/>
  <c r="B44" i="1"/>
  <c r="I54" i="1"/>
  <c r="E43" i="1"/>
  <c r="M43" i="1"/>
  <c r="M44" i="1" s="1"/>
  <c r="M56" i="1" s="1"/>
  <c r="U43" i="1"/>
  <c r="U44" i="1" s="1"/>
  <c r="U56" i="1" s="1"/>
  <c r="AC43" i="1"/>
  <c r="AG43" i="1"/>
  <c r="AG44" i="1" s="1"/>
  <c r="AG56" i="1" s="1"/>
  <c r="AK43" i="1"/>
  <c r="AK44" i="1" s="1"/>
  <c r="AK56" i="1" s="1"/>
  <c r="AW43" i="1"/>
  <c r="AI22" i="1"/>
  <c r="I24" i="1"/>
  <c r="AX24" i="1" s="1"/>
  <c r="AI26" i="1"/>
  <c r="H40" i="1"/>
  <c r="H43" i="1" s="1"/>
  <c r="H44" i="1" s="1"/>
  <c r="H56" i="1" s="1"/>
  <c r="AX34" i="1"/>
  <c r="AI37" i="1"/>
  <c r="AX37" i="1" s="1"/>
  <c r="AV39" i="1"/>
  <c r="AX39" i="1" s="1"/>
  <c r="Z40" i="1"/>
  <c r="AA40" i="1" s="1"/>
  <c r="AX41" i="1"/>
  <c r="AU43" i="1"/>
  <c r="AU44" i="1" s="1"/>
  <c r="AU56" i="1" s="1"/>
  <c r="F55" i="1"/>
  <c r="J55" i="1"/>
  <c r="N55" i="1"/>
  <c r="R55" i="1"/>
  <c r="R56" i="1" s="1"/>
  <c r="AL50" i="1"/>
  <c r="B55" i="1"/>
  <c r="AX26" i="1"/>
  <c r="AV26" i="1"/>
  <c r="AI27" i="1"/>
  <c r="AK40" i="1"/>
  <c r="AL40" i="1" s="1"/>
  <c r="I35" i="1"/>
  <c r="AX35" i="1" s="1"/>
  <c r="AV40" i="1"/>
  <c r="AX42" i="1"/>
  <c r="AI50" i="1"/>
  <c r="AP55" i="1"/>
  <c r="AV55" i="1" s="1"/>
  <c r="AT55" i="1"/>
  <c r="AT56" i="1" s="1"/>
  <c r="AX52" i="1"/>
  <c r="AI54" i="1"/>
  <c r="AV54" i="1"/>
  <c r="AX54" i="1" s="1"/>
  <c r="Y55" i="1"/>
  <c r="AA55" i="1" s="1"/>
  <c r="AX46" i="1"/>
  <c r="I33" i="1"/>
  <c r="AX33" i="1" s="1"/>
  <c r="AJ43" i="1" l="1"/>
  <c r="AL43" i="1" s="1"/>
  <c r="AL19" i="1"/>
  <c r="AX19" i="1" s="1"/>
  <c r="W10" i="1"/>
  <c r="X9" i="1"/>
  <c r="I43" i="1"/>
  <c r="D44" i="1"/>
  <c r="I10" i="1"/>
  <c r="T55" i="1"/>
  <c r="T43" i="1"/>
  <c r="J10" i="1"/>
  <c r="T9" i="1"/>
  <c r="AX9" i="1" s="1"/>
  <c r="AR44" i="1"/>
  <c r="AR56" i="1" s="1"/>
  <c r="N56" i="1"/>
  <c r="AB43" i="1"/>
  <c r="E44" i="1"/>
  <c r="E56" i="1" s="1"/>
  <c r="X40" i="1"/>
  <c r="V43" i="1"/>
  <c r="Z43" i="1"/>
  <c r="B56" i="1"/>
  <c r="Y44" i="1"/>
  <c r="AA10" i="1"/>
  <c r="AV44" i="1"/>
  <c r="I40" i="1"/>
  <c r="AP56" i="1"/>
  <c r="AV56" i="1" s="1"/>
  <c r="I55" i="1"/>
  <c r="AX55" i="1" s="1"/>
  <c r="AJ44" i="1"/>
  <c r="AL10" i="1"/>
  <c r="Y56" i="1" l="1"/>
  <c r="AA56" i="1" s="1"/>
  <c r="AA44" i="1"/>
  <c r="AA43" i="1"/>
  <c r="Z44" i="1"/>
  <c r="Z56" i="1" s="1"/>
  <c r="AI43" i="1"/>
  <c r="AB44" i="1"/>
  <c r="J44" i="1"/>
  <c r="T10" i="1"/>
  <c r="AJ56" i="1"/>
  <c r="AL56" i="1" s="1"/>
  <c r="AL44" i="1"/>
  <c r="AX40" i="1"/>
  <c r="X43" i="1"/>
  <c r="AX43" i="1" s="1"/>
  <c r="V44" i="1"/>
  <c r="I44" i="1"/>
  <c r="D56" i="1"/>
  <c r="I56" i="1" s="1"/>
  <c r="W44" i="1"/>
  <c r="W56" i="1" s="1"/>
  <c r="X10" i="1"/>
  <c r="AX10" i="1" s="1"/>
  <c r="V56" i="1" l="1"/>
  <c r="X56" i="1" s="1"/>
  <c r="X44" i="1"/>
  <c r="J56" i="1"/>
  <c r="T56" i="1" s="1"/>
  <c r="AX56" i="1" s="1"/>
  <c r="T44" i="1"/>
  <c r="AI44" i="1"/>
  <c r="AB56" i="1"/>
  <c r="AI56" i="1" s="1"/>
  <c r="AX44" i="1"/>
</calcChain>
</file>

<file path=xl/sharedStrings.xml><?xml version="1.0" encoding="utf-8"?>
<sst xmlns="http://schemas.openxmlformats.org/spreadsheetml/2006/main" count="104" uniqueCount="104">
  <si>
    <t>Administration ADM</t>
  </si>
  <si>
    <t>Admissions Practice (AP)</t>
  </si>
  <si>
    <t>Annual Conf</t>
  </si>
  <si>
    <t>Conference CONF</t>
  </si>
  <si>
    <t>IDEA Pre Conf</t>
  </si>
  <si>
    <t>Scholarships</t>
  </si>
  <si>
    <t>Super Conference</t>
  </si>
  <si>
    <t>Total Annual Conf</t>
  </si>
  <si>
    <t>College Fairs CF</t>
  </si>
  <si>
    <t>CF 1 Las Vegas</t>
  </si>
  <si>
    <t>CF 2 Reno</t>
  </si>
  <si>
    <t>CF 3 Sacramento</t>
  </si>
  <si>
    <t>CF 5 Sonoma</t>
  </si>
  <si>
    <t>CF 6 Dominican</t>
  </si>
  <si>
    <t>CF 8 CSU East Bay</t>
  </si>
  <si>
    <t>CF 9 St. Mary's</t>
  </si>
  <si>
    <t>CF UOP</t>
  </si>
  <si>
    <t>CF West Valley College</t>
  </si>
  <si>
    <t>Total College Fairs CF</t>
  </si>
  <si>
    <t>Communications COMM</t>
  </si>
  <si>
    <t>Development DEV</t>
  </si>
  <si>
    <t>Fire Victim Textbook Fund</t>
  </si>
  <si>
    <t>Total Development DEV</t>
  </si>
  <si>
    <t>Diversity DEA</t>
  </si>
  <si>
    <t>DEA 1 Grant</t>
  </si>
  <si>
    <t>Executive Board EXB</t>
  </si>
  <si>
    <t>EXB 1 Retreat</t>
  </si>
  <si>
    <t>EXB 2 NACAC</t>
  </si>
  <si>
    <t>EXB 3 Dec</t>
  </si>
  <si>
    <t>EXB 4 Feb/GRAC</t>
  </si>
  <si>
    <t>EXB 5 Conf</t>
  </si>
  <si>
    <t>EXB LDI</t>
  </si>
  <si>
    <t>Total Executive Board EXB</t>
  </si>
  <si>
    <t>Government GRAC</t>
  </si>
  <si>
    <t>GRAC CA</t>
  </si>
  <si>
    <t>Total Government GRAC</t>
  </si>
  <si>
    <t>Inter-Assoc IA</t>
  </si>
  <si>
    <t>Membership MEM</t>
  </si>
  <si>
    <t>Prof  Dev</t>
  </si>
  <si>
    <t>PD 1 LDI</t>
  </si>
  <si>
    <t>PD 3 Redlands</t>
  </si>
  <si>
    <t>PD 4 Chapman</t>
  </si>
  <si>
    <t>PD Dominican</t>
  </si>
  <si>
    <t>PD Sacramento</t>
  </si>
  <si>
    <t>PD SLC</t>
  </si>
  <si>
    <t>Total Prof  Dev</t>
  </si>
  <si>
    <t>TA</t>
  </si>
  <si>
    <t>TOTAL</t>
  </si>
  <si>
    <t>Income</t>
  </si>
  <si>
    <t xml:space="preserve">   5000 Revenue</t>
  </si>
  <si>
    <t xml:space="preserve">   5010 Refunds</t>
  </si>
  <si>
    <t>Total Income</t>
  </si>
  <si>
    <t>Gross Profit</t>
  </si>
  <si>
    <t>Expenses</t>
  </si>
  <si>
    <t xml:space="preserve">   6002 Wages</t>
  </si>
  <si>
    <t xml:space="preserve">   6010 Payroll Taxes</t>
  </si>
  <si>
    <t xml:space="preserve">   6020 Bank  Fees</t>
  </si>
  <si>
    <t xml:space="preserve">   6035 Online transaction fees</t>
  </si>
  <si>
    <t xml:space="preserve">   6050 Professional Fees</t>
  </si>
  <si>
    <t xml:space="preserve">      6070 Payroll Processing Fees</t>
  </si>
  <si>
    <t xml:space="preserve">      6327 Accounting</t>
  </si>
  <si>
    <t xml:space="preserve">   Total 6050 Professional Fees</t>
  </si>
  <si>
    <t xml:space="preserve">   6210 Scholarships</t>
  </si>
  <si>
    <t xml:space="preserve">   6220 Awards &amp; gifts</t>
  </si>
  <si>
    <t xml:space="preserve">   6310 Advertising &amp; Printing</t>
  </si>
  <si>
    <t xml:space="preserve">   6312 Insurance Liability</t>
  </si>
  <si>
    <t xml:space="preserve">   6315 Dues, registration &amp; subscriptions</t>
  </si>
  <si>
    <t xml:space="preserve">   6317 Permits/License &amp; Taxes</t>
  </si>
  <si>
    <t xml:space="preserve">   6320 Postage</t>
  </si>
  <si>
    <t xml:space="preserve">   6335 Rentals (Facilities, Buses &amp; Equipment)</t>
  </si>
  <si>
    <t xml:space="preserve">   6336 Food &amp; Refreshments-Seminars</t>
  </si>
  <si>
    <t xml:space="preserve">   6340 Supplies</t>
  </si>
  <si>
    <t xml:space="preserve">   6345 Office Expenses</t>
  </si>
  <si>
    <t xml:space="preserve">   6350 Telephone</t>
  </si>
  <si>
    <t xml:space="preserve">   6355 Travel expenses</t>
  </si>
  <si>
    <t xml:space="preserve">      6352 Airfare</t>
  </si>
  <si>
    <t xml:space="preserve">      6353 Car rental, taxi, train and bus</t>
  </si>
  <si>
    <t xml:space="preserve">      6356 Lodging</t>
  </si>
  <si>
    <t xml:space="preserve">      6357 Meals/Tips</t>
  </si>
  <si>
    <t xml:space="preserve">      6358 Incidentals, tolls, parking</t>
  </si>
  <si>
    <t xml:space="preserve">      6359 Mileage</t>
  </si>
  <si>
    <t xml:space="preserve">      6360 Gas</t>
  </si>
  <si>
    <t xml:space="preserve">   Total 6355 Travel expenses</t>
  </si>
  <si>
    <t xml:space="preserve">   6570 Website Maintenance</t>
  </si>
  <si>
    <t xml:space="preserve">   6575 Event Management Solution</t>
  </si>
  <si>
    <t>Total Expenses</t>
  </si>
  <si>
    <t>Net Operating Income</t>
  </si>
  <si>
    <t>Other Income</t>
  </si>
  <si>
    <t xml:space="preserve">   7020 Dividend Income</t>
  </si>
  <si>
    <t xml:space="preserve">   7050 Interest Income</t>
  </si>
  <si>
    <t xml:space="preserve">   7100 Unrealized Gains (Losses)</t>
  </si>
  <si>
    <t xml:space="preserve">   7105 Gain or (Loss) on Investments</t>
  </si>
  <si>
    <t>Total Other Income</t>
  </si>
  <si>
    <t>Other Expenses</t>
  </si>
  <si>
    <t xml:space="preserve">   8050 Depreciation Expense</t>
  </si>
  <si>
    <t xml:space="preserve">   8070 Investment Expenses</t>
  </si>
  <si>
    <t>Total Other Expenses</t>
  </si>
  <si>
    <t>Net Other Income</t>
  </si>
  <si>
    <t>Net Income</t>
  </si>
  <si>
    <t>Friday, Sep 20, 2019 02:27:20 PM GMT-7 - Accrual Basis</t>
  </si>
  <si>
    <t>Western Association for College Admission Counseling</t>
  </si>
  <si>
    <t>Profit and Loss by Class</t>
  </si>
  <si>
    <t>July 2018 - June 2019</t>
  </si>
  <si>
    <t>Total Diversity 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</si>
</sst>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tabSelected="1" workbookViewId="0">
      <selection activeCell="AO4" sqref="AO1:AU1048576"/>
    </sheetView>
  </sheetViews>
  <sheetFormatPr defaultRowHeight="15" x14ac:dyDescent="0.25"/>
  <cols>
    <col min="1" max="1" width="41.28515625" customWidth="1"/>
    <col min="2" max="2" width="13" customWidth="1"/>
    <col min="3" max="3" width="11.7109375" customWidth="1"/>
    <col min="4" max="8" width="11.7109375" hidden="1" customWidth="1"/>
    <col min="9" max="9" width="11.7109375" customWidth="1"/>
    <col min="10" max="19" width="11.7109375" hidden="1" customWidth="1"/>
    <col min="20" max="21" width="11.7109375" customWidth="1"/>
    <col min="22" max="23" width="11.7109375" hidden="1" customWidth="1"/>
    <col min="24" max="24" width="11.7109375" customWidth="1"/>
    <col min="25" max="26" width="11.7109375" hidden="1" customWidth="1"/>
    <col min="27" max="27" width="11.7109375" customWidth="1"/>
    <col min="28" max="34" width="11.7109375" hidden="1" customWidth="1"/>
    <col min="35" max="35" width="11.7109375" customWidth="1"/>
    <col min="36" max="37" width="11.7109375" hidden="1" customWidth="1"/>
    <col min="38" max="40" width="11.7109375" customWidth="1"/>
    <col min="41" max="47" width="11.7109375" hidden="1" customWidth="1"/>
    <col min="48" max="50" width="11.7109375" customWidth="1"/>
  </cols>
  <sheetData>
    <row r="1" spans="1:50" ht="18" x14ac:dyDescent="0.25">
      <c r="A1" s="10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8" x14ac:dyDescent="0.25">
      <c r="A2" s="10" t="s">
        <v>101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x14ac:dyDescent="0.25">
      <c r="A3" s="11" t="s">
        <v>102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5" spans="1:50" ht="48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103</v>
      </c>
      <c r="AB5" s="2" t="s">
        <v>25</v>
      </c>
      <c r="AC5" s="2" t="s">
        <v>26</v>
      </c>
      <c r="AD5" s="2" t="s">
        <v>27</v>
      </c>
      <c r="AE5" s="2" t="s">
        <v>28</v>
      </c>
      <c r="AF5" s="2" t="s">
        <v>29</v>
      </c>
      <c r="AG5" s="2" t="s">
        <v>30</v>
      </c>
      <c r="AH5" s="2" t="s">
        <v>31</v>
      </c>
      <c r="AI5" s="2" t="s">
        <v>32</v>
      </c>
      <c r="AJ5" s="2" t="s">
        <v>33</v>
      </c>
      <c r="AK5" s="2" t="s">
        <v>34</v>
      </c>
      <c r="AL5" s="2" t="s">
        <v>35</v>
      </c>
      <c r="AM5" s="2" t="s">
        <v>36</v>
      </c>
      <c r="AN5" s="2" t="s">
        <v>37</v>
      </c>
      <c r="AO5" s="2" t="s">
        <v>38</v>
      </c>
      <c r="AP5" s="2" t="s">
        <v>39</v>
      </c>
      <c r="AQ5" s="2" t="s">
        <v>40</v>
      </c>
      <c r="AR5" s="2" t="s">
        <v>41</v>
      </c>
      <c r="AS5" s="2" t="s">
        <v>42</v>
      </c>
      <c r="AT5" s="2" t="s">
        <v>43</v>
      </c>
      <c r="AU5" s="2" t="s">
        <v>44</v>
      </c>
      <c r="AV5" s="2" t="s">
        <v>45</v>
      </c>
      <c r="AW5" s="2" t="s">
        <v>46</v>
      </c>
      <c r="AX5" s="2" t="s">
        <v>47</v>
      </c>
    </row>
    <row r="6" spans="1:50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x14ac:dyDescent="0.25">
      <c r="A7" s="3" t="s">
        <v>49</v>
      </c>
      <c r="B7" s="4"/>
      <c r="C7" s="4"/>
      <c r="D7" s="4"/>
      <c r="E7" s="5">
        <f>375.27</f>
        <v>375.27</v>
      </c>
      <c r="F7" s="4"/>
      <c r="G7" s="4"/>
      <c r="H7" s="4">
        <f>44910.88</f>
        <v>44910.879999999997</v>
      </c>
      <c r="I7" s="5">
        <f>((((D7)+(E7))+(F7))+(G7))+(H7)</f>
        <v>45286.149999999994</v>
      </c>
      <c r="J7" s="5">
        <f>318737</f>
        <v>318737</v>
      </c>
      <c r="K7" s="5">
        <f>390</f>
        <v>390</v>
      </c>
      <c r="L7" s="4"/>
      <c r="M7" s="4"/>
      <c r="N7" s="4"/>
      <c r="O7" s="4"/>
      <c r="P7" s="4"/>
      <c r="Q7" s="4"/>
      <c r="R7" s="4"/>
      <c r="S7" s="4"/>
      <c r="T7" s="5">
        <f>(((((((((J7)+(K7))+(L7))+(M7))+(N7))+(O7))+(P7))+(Q7))+(R7))+(S7)</f>
        <v>319127</v>
      </c>
      <c r="U7" s="4"/>
      <c r="V7" s="5">
        <f>8899.77</f>
        <v>8899.77</v>
      </c>
      <c r="W7" s="5">
        <f>5305</f>
        <v>5305</v>
      </c>
      <c r="X7" s="5">
        <f>(V7)+(W7)</f>
        <v>14204.77</v>
      </c>
      <c r="Y7" s="4"/>
      <c r="Z7" s="5">
        <f>1650</f>
        <v>1650</v>
      </c>
      <c r="AA7" s="5">
        <f>(Y7)+(Z7)</f>
        <v>1650</v>
      </c>
      <c r="AB7" s="4"/>
      <c r="AC7" s="4"/>
      <c r="AD7" s="5">
        <f>690</f>
        <v>690</v>
      </c>
      <c r="AE7" s="4"/>
      <c r="AF7" s="4"/>
      <c r="AG7" s="4"/>
      <c r="AH7" s="4"/>
      <c r="AI7" s="5">
        <f>((((((AB7)+(AC7))+(AD7))+(AE7))+(AF7))+(AG7))+(AH7)</f>
        <v>690</v>
      </c>
      <c r="AJ7" s="4"/>
      <c r="AK7" s="4"/>
      <c r="AL7" s="5">
        <f>(AJ7)+(AK7)</f>
        <v>0</v>
      </c>
      <c r="AM7" s="4"/>
      <c r="AN7" s="5">
        <f>82965</f>
        <v>82965</v>
      </c>
      <c r="AO7" s="5">
        <f>5900</f>
        <v>5900</v>
      </c>
      <c r="AP7" s="4"/>
      <c r="AQ7" s="4"/>
      <c r="AR7" s="4"/>
      <c r="AS7" s="4"/>
      <c r="AT7" s="4"/>
      <c r="AU7" s="5">
        <f>50915</f>
        <v>50915</v>
      </c>
      <c r="AV7" s="5">
        <f>((((((AO7)+(AP7))+(AQ7))+(AR7))+(AS7))+(AT7))+(AU7)</f>
        <v>56815</v>
      </c>
      <c r="AW7" s="4"/>
      <c r="AX7" s="5">
        <f>((((((((((((B7)+(C7))+(I7))+(T7))+(U7))+(X7))+(AA7))+(AI7))+(AL7))+(AM7))+(AN7))+(AV7))+(AW7)</f>
        <v>520737.92000000004</v>
      </c>
    </row>
    <row r="8" spans="1:50" x14ac:dyDescent="0.25">
      <c r="A8" s="3" t="s">
        <v>50</v>
      </c>
      <c r="B8" s="4"/>
      <c r="C8" s="4"/>
      <c r="D8" s="4"/>
      <c r="E8" s="5">
        <f>-330</f>
        <v>-330</v>
      </c>
      <c r="F8" s="4"/>
      <c r="G8" s="4"/>
      <c r="H8" s="4"/>
      <c r="I8" s="5">
        <f>((((D8)+(E8))+(F8))+(G8))+(H8)</f>
        <v>-330</v>
      </c>
      <c r="J8" s="5">
        <f>-2090</f>
        <v>-2090</v>
      </c>
      <c r="K8" s="4"/>
      <c r="L8" s="4"/>
      <c r="M8" s="4"/>
      <c r="N8" s="4"/>
      <c r="O8" s="4"/>
      <c r="P8" s="4"/>
      <c r="Q8" s="4"/>
      <c r="R8" s="4"/>
      <c r="S8" s="4"/>
      <c r="T8" s="5">
        <f>(((((((((J8)+(K8))+(L8))+(M8))+(N8))+(O8))+(P8))+(Q8))+(R8))+(S8)</f>
        <v>-2090</v>
      </c>
      <c r="U8" s="4"/>
      <c r="V8" s="4"/>
      <c r="W8" s="5">
        <f>-25</f>
        <v>-25</v>
      </c>
      <c r="X8" s="5">
        <f>(V8)+(W8)</f>
        <v>-25</v>
      </c>
      <c r="Y8" s="4"/>
      <c r="Z8" s="4"/>
      <c r="AA8" s="5">
        <f>(Y8)+(Z8)</f>
        <v>0</v>
      </c>
      <c r="AB8" s="4"/>
      <c r="AC8" s="4"/>
      <c r="AD8" s="4"/>
      <c r="AE8" s="4"/>
      <c r="AF8" s="4"/>
      <c r="AG8" s="4"/>
      <c r="AH8" s="4"/>
      <c r="AI8" s="5">
        <f>((((((AB8)+(AC8))+(AD8))+(AE8))+(AF8))+(AG8))+(AH8)</f>
        <v>0</v>
      </c>
      <c r="AJ8" s="4"/>
      <c r="AK8" s="4"/>
      <c r="AL8" s="5">
        <f>(AJ8)+(AK8)</f>
        <v>0</v>
      </c>
      <c r="AM8" s="4"/>
      <c r="AN8" s="5">
        <f>-45</f>
        <v>-45</v>
      </c>
      <c r="AO8" s="4"/>
      <c r="AP8" s="5">
        <f>66.25</f>
        <v>66.25</v>
      </c>
      <c r="AQ8" s="4"/>
      <c r="AR8" s="4"/>
      <c r="AS8" s="4"/>
      <c r="AT8" s="4"/>
      <c r="AU8" s="5">
        <f>-755</f>
        <v>-755</v>
      </c>
      <c r="AV8" s="5">
        <f>((((((AO8)+(AP8))+(AQ8))+(AR8))+(AS8))+(AT8))+(AU8)</f>
        <v>-688.75</v>
      </c>
      <c r="AW8" s="4"/>
      <c r="AX8" s="5">
        <f>((((((((((((B8)+(C8))+(I8))+(T8))+(U8))+(X8))+(AA8))+(AI8))+(AL8))+(AM8))+(AN8))+(AV8))+(AW8)</f>
        <v>-3178.75</v>
      </c>
    </row>
    <row r="9" spans="1:50" x14ac:dyDescent="0.25">
      <c r="A9" s="3" t="s">
        <v>51</v>
      </c>
      <c r="B9" s="6">
        <f t="shared" ref="B9:H9" si="0">(B7)+(B8)</f>
        <v>0</v>
      </c>
      <c r="C9" s="6">
        <f t="shared" si="0"/>
        <v>0</v>
      </c>
      <c r="D9" s="6">
        <f t="shared" si="0"/>
        <v>0</v>
      </c>
      <c r="E9" s="6">
        <f t="shared" si="0"/>
        <v>45.269999999999982</v>
      </c>
      <c r="F9" s="6">
        <f t="shared" si="0"/>
        <v>0</v>
      </c>
      <c r="G9" s="6">
        <f t="shared" si="0"/>
        <v>0</v>
      </c>
      <c r="H9" s="6">
        <f t="shared" si="0"/>
        <v>44910.879999999997</v>
      </c>
      <c r="I9" s="6">
        <f>((((D9)+(E9))+(F9))+(G9))+(H9)</f>
        <v>44956.149999999994</v>
      </c>
      <c r="J9" s="6">
        <f t="shared" ref="J9:S9" si="1">(J7)+(J8)</f>
        <v>316647</v>
      </c>
      <c r="K9" s="6">
        <f t="shared" si="1"/>
        <v>390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>(((((((((J9)+(K9))+(L9))+(M9))+(N9))+(O9))+(P9))+(Q9))+(R9))+(S9)</f>
        <v>317037</v>
      </c>
      <c r="U9" s="6">
        <f>(U7)+(U8)</f>
        <v>0</v>
      </c>
      <c r="V9" s="6">
        <f>(V7)+(V8)</f>
        <v>8899.77</v>
      </c>
      <c r="W9" s="6">
        <f>(W7)+(W8)</f>
        <v>5280</v>
      </c>
      <c r="X9" s="6">
        <f>(V9)+(W9)</f>
        <v>14179.77</v>
      </c>
      <c r="Y9" s="6">
        <f>(Y7)+(Y8)</f>
        <v>0</v>
      </c>
      <c r="Z9" s="6">
        <f>(Z7)+(Z8)</f>
        <v>1650</v>
      </c>
      <c r="AA9" s="6">
        <f>(Y9)+(Z9)</f>
        <v>1650</v>
      </c>
      <c r="AB9" s="6">
        <f t="shared" ref="AB9:AH9" si="2">(AB7)+(AB8)</f>
        <v>0</v>
      </c>
      <c r="AC9" s="6">
        <f t="shared" si="2"/>
        <v>0</v>
      </c>
      <c r="AD9" s="6">
        <f t="shared" si="2"/>
        <v>690</v>
      </c>
      <c r="AE9" s="6">
        <f t="shared" si="2"/>
        <v>0</v>
      </c>
      <c r="AF9" s="6">
        <f t="shared" si="2"/>
        <v>0</v>
      </c>
      <c r="AG9" s="6">
        <f t="shared" si="2"/>
        <v>0</v>
      </c>
      <c r="AH9" s="6">
        <f t="shared" si="2"/>
        <v>0</v>
      </c>
      <c r="AI9" s="6">
        <f>((((((AB9)+(AC9))+(AD9))+(AE9))+(AF9))+(AG9))+(AH9)</f>
        <v>690</v>
      </c>
      <c r="AJ9" s="6">
        <f>(AJ7)+(AJ8)</f>
        <v>0</v>
      </c>
      <c r="AK9" s="6">
        <f>(AK7)+(AK8)</f>
        <v>0</v>
      </c>
      <c r="AL9" s="6">
        <f>(AJ9)+(AK9)</f>
        <v>0</v>
      </c>
      <c r="AM9" s="6">
        <f t="shared" ref="AM9:AU9" si="3">(AM7)+(AM8)</f>
        <v>0</v>
      </c>
      <c r="AN9" s="6">
        <f t="shared" si="3"/>
        <v>82920</v>
      </c>
      <c r="AO9" s="6">
        <f t="shared" si="3"/>
        <v>5900</v>
      </c>
      <c r="AP9" s="6">
        <f t="shared" si="3"/>
        <v>66.25</v>
      </c>
      <c r="AQ9" s="6">
        <f t="shared" si="3"/>
        <v>0</v>
      </c>
      <c r="AR9" s="6">
        <f t="shared" si="3"/>
        <v>0</v>
      </c>
      <c r="AS9" s="6">
        <f t="shared" si="3"/>
        <v>0</v>
      </c>
      <c r="AT9" s="6">
        <f t="shared" si="3"/>
        <v>0</v>
      </c>
      <c r="AU9" s="6">
        <f t="shared" si="3"/>
        <v>50160</v>
      </c>
      <c r="AV9" s="6">
        <f>((((((AO9)+(AP9))+(AQ9))+(AR9))+(AS9))+(AT9))+(AU9)</f>
        <v>56126.25</v>
      </c>
      <c r="AW9" s="6">
        <f>(AW7)+(AW8)</f>
        <v>0</v>
      </c>
      <c r="AX9" s="6">
        <f>((((((((((((B9)+(C9))+(I9))+(T9))+(U9))+(X9))+(AA9))+(AI9))+(AL9))+(AM9))+(AN9))+(AV9))+(AW9)</f>
        <v>517559.17000000004</v>
      </c>
    </row>
    <row r="10" spans="1:50" x14ac:dyDescent="0.25">
      <c r="A10" s="3" t="s">
        <v>52</v>
      </c>
      <c r="B10" s="6">
        <f t="shared" ref="B10:H10" si="4">(B9)-(0)</f>
        <v>0</v>
      </c>
      <c r="C10" s="6">
        <f t="shared" si="4"/>
        <v>0</v>
      </c>
      <c r="D10" s="6">
        <f t="shared" si="4"/>
        <v>0</v>
      </c>
      <c r="E10" s="6">
        <f t="shared" si="4"/>
        <v>45.269999999999982</v>
      </c>
      <c r="F10" s="6">
        <f t="shared" si="4"/>
        <v>0</v>
      </c>
      <c r="G10" s="6">
        <f t="shared" si="4"/>
        <v>0</v>
      </c>
      <c r="H10" s="6">
        <f t="shared" si="4"/>
        <v>44910.879999999997</v>
      </c>
      <c r="I10" s="6">
        <f>((((D10)+(E10))+(F10))+(G10))+(H10)</f>
        <v>44956.149999999994</v>
      </c>
      <c r="J10" s="6">
        <f t="shared" ref="J10:S10" si="5">(J9)-(0)</f>
        <v>316647</v>
      </c>
      <c r="K10" s="6">
        <f t="shared" si="5"/>
        <v>390</v>
      </c>
      <c r="L10" s="6">
        <f t="shared" si="5"/>
        <v>0</v>
      </c>
      <c r="M10" s="6">
        <f t="shared" si="5"/>
        <v>0</v>
      </c>
      <c r="N10" s="6">
        <f t="shared" si="5"/>
        <v>0</v>
      </c>
      <c r="O10" s="6">
        <f t="shared" si="5"/>
        <v>0</v>
      </c>
      <c r="P10" s="6">
        <f t="shared" si="5"/>
        <v>0</v>
      </c>
      <c r="Q10" s="6">
        <f t="shared" si="5"/>
        <v>0</v>
      </c>
      <c r="R10" s="6">
        <f t="shared" si="5"/>
        <v>0</v>
      </c>
      <c r="S10" s="6">
        <f t="shared" si="5"/>
        <v>0</v>
      </c>
      <c r="T10" s="6">
        <f>(((((((((J10)+(K10))+(L10))+(M10))+(N10))+(O10))+(P10))+(Q10))+(R10))+(S10)</f>
        <v>317037</v>
      </c>
      <c r="U10" s="6">
        <f>(U9)-(0)</f>
        <v>0</v>
      </c>
      <c r="V10" s="6">
        <f>(V9)-(0)</f>
        <v>8899.77</v>
      </c>
      <c r="W10" s="6">
        <f>(W9)-(0)</f>
        <v>5280</v>
      </c>
      <c r="X10" s="6">
        <f>(V10)+(W10)</f>
        <v>14179.77</v>
      </c>
      <c r="Y10" s="6">
        <f>(Y9)-(0)</f>
        <v>0</v>
      </c>
      <c r="Z10" s="6">
        <f>(Z9)-(0)</f>
        <v>1650</v>
      </c>
      <c r="AA10" s="6">
        <f>(Y10)+(Z10)</f>
        <v>1650</v>
      </c>
      <c r="AB10" s="6">
        <f t="shared" ref="AB10:AH10" si="6">(AB9)-(0)</f>
        <v>0</v>
      </c>
      <c r="AC10" s="6">
        <f t="shared" si="6"/>
        <v>0</v>
      </c>
      <c r="AD10" s="6">
        <f t="shared" si="6"/>
        <v>690</v>
      </c>
      <c r="AE10" s="6">
        <f t="shared" si="6"/>
        <v>0</v>
      </c>
      <c r="AF10" s="6">
        <f t="shared" si="6"/>
        <v>0</v>
      </c>
      <c r="AG10" s="6">
        <f t="shared" si="6"/>
        <v>0</v>
      </c>
      <c r="AH10" s="6">
        <f t="shared" si="6"/>
        <v>0</v>
      </c>
      <c r="AI10" s="6">
        <f>((((((AB10)+(AC10))+(AD10))+(AE10))+(AF10))+(AG10))+(AH10)</f>
        <v>690</v>
      </c>
      <c r="AJ10" s="6">
        <f>(AJ9)-(0)</f>
        <v>0</v>
      </c>
      <c r="AK10" s="6">
        <f>(AK9)-(0)</f>
        <v>0</v>
      </c>
      <c r="AL10" s="6">
        <f>(AJ10)+(AK10)</f>
        <v>0</v>
      </c>
      <c r="AM10" s="6">
        <f t="shared" ref="AM10:AU10" si="7">(AM9)-(0)</f>
        <v>0</v>
      </c>
      <c r="AN10" s="6">
        <f t="shared" si="7"/>
        <v>82920</v>
      </c>
      <c r="AO10" s="6">
        <f t="shared" si="7"/>
        <v>5900</v>
      </c>
      <c r="AP10" s="6">
        <f t="shared" si="7"/>
        <v>66.25</v>
      </c>
      <c r="AQ10" s="6">
        <f t="shared" si="7"/>
        <v>0</v>
      </c>
      <c r="AR10" s="6">
        <f t="shared" si="7"/>
        <v>0</v>
      </c>
      <c r="AS10" s="6">
        <f t="shared" si="7"/>
        <v>0</v>
      </c>
      <c r="AT10" s="6">
        <f t="shared" si="7"/>
        <v>0</v>
      </c>
      <c r="AU10" s="6">
        <f t="shared" si="7"/>
        <v>50160</v>
      </c>
      <c r="AV10" s="6">
        <f>((((((AO10)+(AP10))+(AQ10))+(AR10))+(AS10))+(AT10))+(AU10)</f>
        <v>56126.25</v>
      </c>
      <c r="AW10" s="6">
        <f>(AW9)-(0)</f>
        <v>0</v>
      </c>
      <c r="AX10" s="6">
        <f>((((((((((((B10)+(C10))+(I10))+(T10))+(U10))+(X10))+(AA10))+(AI10))+(AL10))+(AM10))+(AN10))+(AV10))+(AW10)</f>
        <v>517559.17000000004</v>
      </c>
    </row>
    <row r="11" spans="1:50" x14ac:dyDescent="0.25">
      <c r="A11" s="3" t="s">
        <v>53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A12" s="3" t="s">
        <v>54</v>
      </c>
      <c r="B12" s="5">
        <f>64566.7</f>
        <v>64566.7</v>
      </c>
      <c r="C12" s="4"/>
      <c r="D12" s="4"/>
      <c r="E12" s="4"/>
      <c r="F12" s="4"/>
      <c r="G12" s="4"/>
      <c r="H12" s="4"/>
      <c r="I12" s="5">
        <f t="shared" ref="I12:I44" si="8">((((D12)+(E12))+(F12))+(G12))+(H12)</f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ref="T12:T44" si="9">(((((((((J12)+(K12))+(L12))+(M12))+(N12))+(O12))+(P12))+(Q12))+(R12))+(S12)</f>
        <v>0</v>
      </c>
      <c r="U12" s="4"/>
      <c r="V12" s="4"/>
      <c r="W12" s="4"/>
      <c r="X12" s="5">
        <f t="shared" ref="X12:X44" si="10">(V12)+(W12)</f>
        <v>0</v>
      </c>
      <c r="Y12" s="4"/>
      <c r="Z12" s="4"/>
      <c r="AA12" s="5">
        <f t="shared" ref="AA12:AA44" si="11">(Y12)+(Z12)</f>
        <v>0</v>
      </c>
      <c r="AB12" s="4"/>
      <c r="AC12" s="4"/>
      <c r="AD12" s="4"/>
      <c r="AE12" s="4"/>
      <c r="AF12" s="4"/>
      <c r="AG12" s="4"/>
      <c r="AH12" s="4"/>
      <c r="AI12" s="5">
        <f t="shared" ref="AI12:AI44" si="12">((((((AB12)+(AC12))+(AD12))+(AE12))+(AF12))+(AG12))+(AH12)</f>
        <v>0</v>
      </c>
      <c r="AJ12" s="4"/>
      <c r="AK12" s="4"/>
      <c r="AL12" s="5">
        <f t="shared" ref="AL12:AL44" si="13">(AJ12)+(AK12)</f>
        <v>0</v>
      </c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ref="AV12:AV44" si="14">((((((AO12)+(AP12))+(AQ12))+(AR12))+(AS12))+(AT12))+(AU12)</f>
        <v>0</v>
      </c>
      <c r="AW12" s="4"/>
      <c r="AX12" s="5">
        <f t="shared" ref="AX12:AX44" si="15">((((((((((((B12)+(C12))+(I12))+(T12))+(U12))+(X12))+(AA12))+(AI12))+(AL12))+(AM12))+(AN12))+(AV12))+(AW12)</f>
        <v>64566.7</v>
      </c>
    </row>
    <row r="13" spans="1:50" x14ac:dyDescent="0.25">
      <c r="A13" s="3" t="s">
        <v>55</v>
      </c>
      <c r="B13" s="5">
        <f>5241.22</f>
        <v>5241.22</v>
      </c>
      <c r="C13" s="4"/>
      <c r="D13" s="4"/>
      <c r="E13" s="4"/>
      <c r="F13" s="4"/>
      <c r="G13" s="4"/>
      <c r="H13" s="4"/>
      <c r="I13" s="5">
        <f t="shared" si="8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9"/>
        <v>0</v>
      </c>
      <c r="U13" s="4"/>
      <c r="V13" s="4"/>
      <c r="W13" s="4"/>
      <c r="X13" s="5">
        <f t="shared" si="10"/>
        <v>0</v>
      </c>
      <c r="Y13" s="4"/>
      <c r="Z13" s="4"/>
      <c r="AA13" s="5">
        <f t="shared" si="11"/>
        <v>0</v>
      </c>
      <c r="AB13" s="4"/>
      <c r="AC13" s="4"/>
      <c r="AD13" s="4"/>
      <c r="AE13" s="4"/>
      <c r="AF13" s="4"/>
      <c r="AG13" s="4"/>
      <c r="AH13" s="4"/>
      <c r="AI13" s="5">
        <f t="shared" si="12"/>
        <v>0</v>
      </c>
      <c r="AJ13" s="4"/>
      <c r="AK13" s="4"/>
      <c r="AL13" s="5">
        <f t="shared" si="13"/>
        <v>0</v>
      </c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4"/>
        <v>0</v>
      </c>
      <c r="AW13" s="4"/>
      <c r="AX13" s="5">
        <f t="shared" si="15"/>
        <v>5241.22</v>
      </c>
    </row>
    <row r="14" spans="1:50" x14ac:dyDescent="0.25">
      <c r="A14" s="3" t="s">
        <v>56</v>
      </c>
      <c r="B14" s="5">
        <f>121.5</f>
        <v>121.5</v>
      </c>
      <c r="C14" s="4"/>
      <c r="D14" s="4"/>
      <c r="E14" s="4"/>
      <c r="F14" s="4"/>
      <c r="G14" s="4"/>
      <c r="H14" s="4"/>
      <c r="I14" s="5">
        <f t="shared" si="8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9"/>
        <v>0</v>
      </c>
      <c r="U14" s="4"/>
      <c r="V14" s="4"/>
      <c r="W14" s="4"/>
      <c r="X14" s="5">
        <f t="shared" si="10"/>
        <v>0</v>
      </c>
      <c r="Y14" s="4"/>
      <c r="Z14" s="4"/>
      <c r="AA14" s="5">
        <f t="shared" si="11"/>
        <v>0</v>
      </c>
      <c r="AB14" s="4"/>
      <c r="AC14" s="4"/>
      <c r="AD14" s="4"/>
      <c r="AE14" s="4"/>
      <c r="AF14" s="4"/>
      <c r="AG14" s="4"/>
      <c r="AH14" s="4"/>
      <c r="AI14" s="5">
        <f t="shared" si="12"/>
        <v>0</v>
      </c>
      <c r="AJ14" s="4"/>
      <c r="AK14" s="4"/>
      <c r="AL14" s="5">
        <f t="shared" si="13"/>
        <v>0</v>
      </c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4"/>
        <v>0</v>
      </c>
      <c r="AW14" s="4"/>
      <c r="AX14" s="5">
        <f t="shared" si="15"/>
        <v>121.5</v>
      </c>
    </row>
    <row r="15" spans="1:50" x14ac:dyDescent="0.25">
      <c r="A15" s="3" t="s">
        <v>57</v>
      </c>
      <c r="B15" s="5">
        <f>61.8</f>
        <v>61.8</v>
      </c>
      <c r="C15" s="4"/>
      <c r="D15" s="4"/>
      <c r="E15" s="4"/>
      <c r="F15" s="4"/>
      <c r="G15" s="4"/>
      <c r="H15" s="4"/>
      <c r="I15" s="5">
        <f t="shared" si="8"/>
        <v>0</v>
      </c>
      <c r="J15" s="5">
        <f>6022.02</f>
        <v>6022.02</v>
      </c>
      <c r="K15" s="4"/>
      <c r="L15" s="4"/>
      <c r="M15" s="4"/>
      <c r="N15" s="4"/>
      <c r="O15" s="4"/>
      <c r="P15" s="4"/>
      <c r="Q15" s="4"/>
      <c r="R15" s="4"/>
      <c r="S15" s="4"/>
      <c r="T15" s="5">
        <f t="shared" si="9"/>
        <v>6022.02</v>
      </c>
      <c r="U15" s="4"/>
      <c r="V15" s="5">
        <f>19.32</f>
        <v>19.32</v>
      </c>
      <c r="W15" s="5">
        <f>137.24</f>
        <v>137.24</v>
      </c>
      <c r="X15" s="5">
        <f t="shared" si="10"/>
        <v>156.56</v>
      </c>
      <c r="Y15" s="4"/>
      <c r="Z15" s="4"/>
      <c r="AA15" s="5">
        <f t="shared" si="11"/>
        <v>0</v>
      </c>
      <c r="AB15" s="4"/>
      <c r="AC15" s="4"/>
      <c r="AD15" s="4"/>
      <c r="AE15" s="4"/>
      <c r="AF15" s="4"/>
      <c r="AG15" s="4"/>
      <c r="AH15" s="4"/>
      <c r="AI15" s="5">
        <f t="shared" si="12"/>
        <v>0</v>
      </c>
      <c r="AJ15" s="4"/>
      <c r="AK15" s="4"/>
      <c r="AL15" s="5">
        <f t="shared" si="13"/>
        <v>0</v>
      </c>
      <c r="AM15" s="4"/>
      <c r="AN15" s="5">
        <f>2819.73</f>
        <v>2819.73</v>
      </c>
      <c r="AO15" s="4"/>
      <c r="AP15" s="4"/>
      <c r="AQ15" s="4"/>
      <c r="AR15" s="4"/>
      <c r="AS15" s="4"/>
      <c r="AT15" s="4"/>
      <c r="AU15" s="5">
        <f>1364.43</f>
        <v>1364.43</v>
      </c>
      <c r="AV15" s="5">
        <f t="shared" si="14"/>
        <v>1364.43</v>
      </c>
      <c r="AW15" s="4"/>
      <c r="AX15" s="5">
        <f t="shared" si="15"/>
        <v>10424.540000000001</v>
      </c>
    </row>
    <row r="16" spans="1:50" x14ac:dyDescent="0.25">
      <c r="A16" s="3" t="s">
        <v>58</v>
      </c>
      <c r="B16" s="5">
        <f>22320</f>
        <v>22320</v>
      </c>
      <c r="C16" s="4"/>
      <c r="D16" s="4"/>
      <c r="E16" s="4"/>
      <c r="F16" s="4"/>
      <c r="G16" s="4"/>
      <c r="H16" s="4"/>
      <c r="I16" s="5">
        <f t="shared" si="8"/>
        <v>0</v>
      </c>
      <c r="J16" s="5">
        <f>26773.29</f>
        <v>26773.29</v>
      </c>
      <c r="K16" s="5">
        <f>5320</f>
        <v>5320</v>
      </c>
      <c r="L16" s="5">
        <f>1420</f>
        <v>1420</v>
      </c>
      <c r="M16" s="4"/>
      <c r="N16" s="4"/>
      <c r="O16" s="5">
        <f>234.76</f>
        <v>234.76</v>
      </c>
      <c r="P16" s="4"/>
      <c r="Q16" s="5">
        <f>3598.6</f>
        <v>3598.6</v>
      </c>
      <c r="R16" s="5">
        <f>180</f>
        <v>180</v>
      </c>
      <c r="S16" s="4"/>
      <c r="T16" s="5">
        <f t="shared" si="9"/>
        <v>37526.65</v>
      </c>
      <c r="U16" s="4"/>
      <c r="V16" s="4"/>
      <c r="W16" s="4"/>
      <c r="X16" s="5">
        <f t="shared" si="10"/>
        <v>0</v>
      </c>
      <c r="Y16" s="4"/>
      <c r="Z16" s="4"/>
      <c r="AA16" s="5">
        <f t="shared" si="11"/>
        <v>0</v>
      </c>
      <c r="AB16" s="4"/>
      <c r="AC16" s="4"/>
      <c r="AD16" s="4"/>
      <c r="AE16" s="4"/>
      <c r="AF16" s="4"/>
      <c r="AG16" s="4"/>
      <c r="AH16" s="4"/>
      <c r="AI16" s="5">
        <f t="shared" si="12"/>
        <v>0</v>
      </c>
      <c r="AJ16" s="5">
        <f>9600</f>
        <v>9600</v>
      </c>
      <c r="AK16" s="4"/>
      <c r="AL16" s="5">
        <f t="shared" si="13"/>
        <v>9600</v>
      </c>
      <c r="AM16" s="4"/>
      <c r="AN16" s="4"/>
      <c r="AO16" s="4"/>
      <c r="AP16" s="4"/>
      <c r="AQ16" s="4"/>
      <c r="AR16" s="4"/>
      <c r="AS16" s="4"/>
      <c r="AT16" s="4"/>
      <c r="AU16" s="4"/>
      <c r="AV16" s="5">
        <f t="shared" si="14"/>
        <v>0</v>
      </c>
      <c r="AW16" s="4"/>
      <c r="AX16" s="5">
        <f t="shared" si="15"/>
        <v>69446.649999999994</v>
      </c>
    </row>
    <row r="17" spans="1:50" x14ac:dyDescent="0.25">
      <c r="A17" s="3" t="s">
        <v>59</v>
      </c>
      <c r="B17" s="5">
        <f>1843.5</f>
        <v>1843.5</v>
      </c>
      <c r="C17" s="4"/>
      <c r="D17" s="4"/>
      <c r="E17" s="4"/>
      <c r="F17" s="4"/>
      <c r="G17" s="4"/>
      <c r="H17" s="4"/>
      <c r="I17" s="5">
        <f t="shared" si="8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9"/>
        <v>0</v>
      </c>
      <c r="U17" s="4"/>
      <c r="V17" s="4"/>
      <c r="W17" s="4"/>
      <c r="X17" s="5">
        <f t="shared" si="10"/>
        <v>0</v>
      </c>
      <c r="Y17" s="4"/>
      <c r="Z17" s="4"/>
      <c r="AA17" s="5">
        <f t="shared" si="11"/>
        <v>0</v>
      </c>
      <c r="AB17" s="4"/>
      <c r="AC17" s="4"/>
      <c r="AD17" s="4"/>
      <c r="AE17" s="4"/>
      <c r="AF17" s="4"/>
      <c r="AG17" s="4"/>
      <c r="AH17" s="4"/>
      <c r="AI17" s="5">
        <f t="shared" si="12"/>
        <v>0</v>
      </c>
      <c r="AJ17" s="4"/>
      <c r="AK17" s="4"/>
      <c r="AL17" s="5">
        <f t="shared" si="13"/>
        <v>0</v>
      </c>
      <c r="AM17" s="4"/>
      <c r="AN17" s="4"/>
      <c r="AO17" s="4"/>
      <c r="AP17" s="4"/>
      <c r="AQ17" s="4"/>
      <c r="AR17" s="4"/>
      <c r="AS17" s="4"/>
      <c r="AT17" s="4"/>
      <c r="AU17" s="4"/>
      <c r="AV17" s="5">
        <f t="shared" si="14"/>
        <v>0</v>
      </c>
      <c r="AW17" s="4"/>
      <c r="AX17" s="5">
        <f t="shared" si="15"/>
        <v>1843.5</v>
      </c>
    </row>
    <row r="18" spans="1:50" x14ac:dyDescent="0.25">
      <c r="A18" s="3" t="s">
        <v>60</v>
      </c>
      <c r="B18" s="5">
        <f>17920</f>
        <v>17920</v>
      </c>
      <c r="C18" s="4"/>
      <c r="D18" s="4"/>
      <c r="E18" s="4"/>
      <c r="F18" s="4"/>
      <c r="G18" s="4"/>
      <c r="H18" s="4"/>
      <c r="I18" s="5">
        <f t="shared" si="8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9"/>
        <v>0</v>
      </c>
      <c r="U18" s="4"/>
      <c r="V18" s="4"/>
      <c r="W18" s="4"/>
      <c r="X18" s="5">
        <f t="shared" si="10"/>
        <v>0</v>
      </c>
      <c r="Y18" s="4"/>
      <c r="Z18" s="4"/>
      <c r="AA18" s="5">
        <f t="shared" si="11"/>
        <v>0</v>
      </c>
      <c r="AB18" s="4"/>
      <c r="AC18" s="4"/>
      <c r="AD18" s="4"/>
      <c r="AE18" s="4"/>
      <c r="AF18" s="4"/>
      <c r="AG18" s="4"/>
      <c r="AH18" s="4"/>
      <c r="AI18" s="5">
        <f t="shared" si="12"/>
        <v>0</v>
      </c>
      <c r="AJ18" s="4"/>
      <c r="AK18" s="4"/>
      <c r="AL18" s="5">
        <f t="shared" si="13"/>
        <v>0</v>
      </c>
      <c r="AM18" s="4"/>
      <c r="AN18" s="4"/>
      <c r="AO18" s="4"/>
      <c r="AP18" s="4"/>
      <c r="AQ18" s="4"/>
      <c r="AR18" s="4"/>
      <c r="AS18" s="4"/>
      <c r="AT18" s="4"/>
      <c r="AU18" s="4"/>
      <c r="AV18" s="5">
        <f t="shared" si="14"/>
        <v>0</v>
      </c>
      <c r="AW18" s="4"/>
      <c r="AX18" s="5">
        <f t="shared" si="15"/>
        <v>17920</v>
      </c>
    </row>
    <row r="19" spans="1:50" x14ac:dyDescent="0.25">
      <c r="A19" s="3" t="s">
        <v>61</v>
      </c>
      <c r="B19" s="6">
        <f t="shared" ref="B19:H19" si="16">((B16)+(B17))+(B18)</f>
        <v>42083.5</v>
      </c>
      <c r="C19" s="6">
        <f t="shared" si="16"/>
        <v>0</v>
      </c>
      <c r="D19" s="6">
        <f t="shared" si="16"/>
        <v>0</v>
      </c>
      <c r="E19" s="6">
        <f t="shared" si="16"/>
        <v>0</v>
      </c>
      <c r="F19" s="6">
        <f t="shared" si="16"/>
        <v>0</v>
      </c>
      <c r="G19" s="6">
        <f t="shared" si="16"/>
        <v>0</v>
      </c>
      <c r="H19" s="6">
        <f t="shared" si="16"/>
        <v>0</v>
      </c>
      <c r="I19" s="6">
        <f t="shared" si="8"/>
        <v>0</v>
      </c>
      <c r="J19" s="6">
        <f t="shared" ref="J19:S19" si="17">((J16)+(J17))+(J18)</f>
        <v>26773.29</v>
      </c>
      <c r="K19" s="6">
        <f t="shared" si="17"/>
        <v>5320</v>
      </c>
      <c r="L19" s="6">
        <f t="shared" si="17"/>
        <v>1420</v>
      </c>
      <c r="M19" s="6">
        <f t="shared" si="17"/>
        <v>0</v>
      </c>
      <c r="N19" s="6">
        <f t="shared" si="17"/>
        <v>0</v>
      </c>
      <c r="O19" s="6">
        <f t="shared" si="17"/>
        <v>234.76</v>
      </c>
      <c r="P19" s="6">
        <f t="shared" si="17"/>
        <v>0</v>
      </c>
      <c r="Q19" s="6">
        <f t="shared" si="17"/>
        <v>3598.6</v>
      </c>
      <c r="R19" s="6">
        <f t="shared" si="17"/>
        <v>180</v>
      </c>
      <c r="S19" s="6">
        <f t="shared" si="17"/>
        <v>0</v>
      </c>
      <c r="T19" s="6">
        <f t="shared" si="9"/>
        <v>37526.65</v>
      </c>
      <c r="U19" s="6">
        <f>((U16)+(U17))+(U18)</f>
        <v>0</v>
      </c>
      <c r="V19" s="6">
        <f>((V16)+(V17))+(V18)</f>
        <v>0</v>
      </c>
      <c r="W19" s="6">
        <f>((W16)+(W17))+(W18)</f>
        <v>0</v>
      </c>
      <c r="X19" s="6">
        <f t="shared" si="10"/>
        <v>0</v>
      </c>
      <c r="Y19" s="6">
        <f>((Y16)+(Y17))+(Y18)</f>
        <v>0</v>
      </c>
      <c r="Z19" s="6">
        <f>((Z16)+(Z17))+(Z18)</f>
        <v>0</v>
      </c>
      <c r="AA19" s="6">
        <f t="shared" si="11"/>
        <v>0</v>
      </c>
      <c r="AB19" s="6">
        <f t="shared" ref="AB19:AH19" si="18">((AB16)+(AB17))+(AB18)</f>
        <v>0</v>
      </c>
      <c r="AC19" s="6">
        <f t="shared" si="18"/>
        <v>0</v>
      </c>
      <c r="AD19" s="6">
        <f t="shared" si="18"/>
        <v>0</v>
      </c>
      <c r="AE19" s="6">
        <f t="shared" si="18"/>
        <v>0</v>
      </c>
      <c r="AF19" s="6">
        <f t="shared" si="18"/>
        <v>0</v>
      </c>
      <c r="AG19" s="6">
        <f t="shared" si="18"/>
        <v>0</v>
      </c>
      <c r="AH19" s="6">
        <f t="shared" si="18"/>
        <v>0</v>
      </c>
      <c r="AI19" s="6">
        <f t="shared" si="12"/>
        <v>0</v>
      </c>
      <c r="AJ19" s="6">
        <f>((AJ16)+(AJ17))+(AJ18)</f>
        <v>9600</v>
      </c>
      <c r="AK19" s="6">
        <f>((AK16)+(AK17))+(AK18)</f>
        <v>0</v>
      </c>
      <c r="AL19" s="6">
        <f t="shared" si="13"/>
        <v>9600</v>
      </c>
      <c r="AM19" s="6">
        <f t="shared" ref="AM19:AU19" si="19">((AM16)+(AM17))+(AM18)</f>
        <v>0</v>
      </c>
      <c r="AN19" s="6">
        <f t="shared" si="19"/>
        <v>0</v>
      </c>
      <c r="AO19" s="6">
        <f t="shared" si="19"/>
        <v>0</v>
      </c>
      <c r="AP19" s="6">
        <f t="shared" si="19"/>
        <v>0</v>
      </c>
      <c r="AQ19" s="6">
        <f t="shared" si="19"/>
        <v>0</v>
      </c>
      <c r="AR19" s="6">
        <f t="shared" si="19"/>
        <v>0</v>
      </c>
      <c r="AS19" s="6">
        <f t="shared" si="19"/>
        <v>0</v>
      </c>
      <c r="AT19" s="6">
        <f t="shared" si="19"/>
        <v>0</v>
      </c>
      <c r="AU19" s="6">
        <f t="shared" si="19"/>
        <v>0</v>
      </c>
      <c r="AV19" s="6">
        <f t="shared" si="14"/>
        <v>0</v>
      </c>
      <c r="AW19" s="6">
        <f>((AW16)+(AW17))+(AW18)</f>
        <v>0</v>
      </c>
      <c r="AX19" s="6">
        <f t="shared" si="15"/>
        <v>89210.15</v>
      </c>
    </row>
    <row r="20" spans="1:50" x14ac:dyDescent="0.25">
      <c r="A20" s="3" t="s">
        <v>62</v>
      </c>
      <c r="B20" s="4"/>
      <c r="C20" s="4"/>
      <c r="D20" s="4"/>
      <c r="E20" s="4"/>
      <c r="F20" s="4"/>
      <c r="G20" s="5">
        <f>1520</f>
        <v>1520</v>
      </c>
      <c r="H20" s="5">
        <f>275</f>
        <v>275</v>
      </c>
      <c r="I20" s="5">
        <f t="shared" si="8"/>
        <v>1795</v>
      </c>
      <c r="J20" s="5">
        <f>300</f>
        <v>300</v>
      </c>
      <c r="K20" s="4"/>
      <c r="L20" s="4"/>
      <c r="M20" s="4"/>
      <c r="N20" s="5">
        <f>2697.82</f>
        <v>2697.82</v>
      </c>
      <c r="O20" s="4"/>
      <c r="P20" s="5">
        <f>2128</f>
        <v>2128</v>
      </c>
      <c r="Q20" s="4"/>
      <c r="R20" s="5">
        <f>2364.69</f>
        <v>2364.69</v>
      </c>
      <c r="S20" s="5">
        <f>700</f>
        <v>700</v>
      </c>
      <c r="T20" s="5">
        <f t="shared" si="9"/>
        <v>8190.51</v>
      </c>
      <c r="U20" s="4"/>
      <c r="V20" s="4"/>
      <c r="W20" s="5">
        <f>5000</f>
        <v>5000</v>
      </c>
      <c r="X20" s="5">
        <f t="shared" si="10"/>
        <v>5000</v>
      </c>
      <c r="Y20" s="4"/>
      <c r="Z20" s="4"/>
      <c r="AA20" s="5">
        <f t="shared" si="11"/>
        <v>0</v>
      </c>
      <c r="AB20" s="4"/>
      <c r="AC20" s="4"/>
      <c r="AD20" s="4"/>
      <c r="AE20" s="4"/>
      <c r="AF20" s="4"/>
      <c r="AG20" s="4"/>
      <c r="AH20" s="4"/>
      <c r="AI20" s="5">
        <f t="shared" si="12"/>
        <v>0</v>
      </c>
      <c r="AJ20" s="4"/>
      <c r="AK20" s="4"/>
      <c r="AL20" s="5">
        <f t="shared" si="13"/>
        <v>0</v>
      </c>
      <c r="AM20" s="4"/>
      <c r="AN20" s="4"/>
      <c r="AO20" s="4"/>
      <c r="AP20" s="5">
        <f>730</f>
        <v>730</v>
      </c>
      <c r="AQ20" s="4"/>
      <c r="AR20" s="4"/>
      <c r="AS20" s="4"/>
      <c r="AT20" s="4"/>
      <c r="AU20" s="4"/>
      <c r="AV20" s="5">
        <f t="shared" si="14"/>
        <v>730</v>
      </c>
      <c r="AW20" s="4"/>
      <c r="AX20" s="5">
        <f t="shared" si="15"/>
        <v>15715.51</v>
      </c>
    </row>
    <row r="21" spans="1:50" x14ac:dyDescent="0.25">
      <c r="A21" s="3" t="s">
        <v>63</v>
      </c>
      <c r="B21" s="4"/>
      <c r="C21" s="4"/>
      <c r="D21" s="4"/>
      <c r="E21" s="5">
        <f>515</f>
        <v>515</v>
      </c>
      <c r="F21" s="4"/>
      <c r="G21" s="4"/>
      <c r="H21" s="5">
        <f>19.99</f>
        <v>19.989999999999998</v>
      </c>
      <c r="I21" s="5">
        <f t="shared" si="8"/>
        <v>534.99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9"/>
        <v>0</v>
      </c>
      <c r="U21" s="4"/>
      <c r="V21" s="5">
        <f>6113.5</f>
        <v>6113.5</v>
      </c>
      <c r="W21" s="4"/>
      <c r="X21" s="5">
        <f t="shared" si="10"/>
        <v>6113.5</v>
      </c>
      <c r="Y21" s="4"/>
      <c r="Z21" s="5">
        <f>786.44</f>
        <v>786.44</v>
      </c>
      <c r="AA21" s="5">
        <f t="shared" si="11"/>
        <v>786.44</v>
      </c>
      <c r="AB21" s="5">
        <f>3573.45</f>
        <v>3573.45</v>
      </c>
      <c r="AC21" s="5">
        <f>2935.25</f>
        <v>2935.25</v>
      </c>
      <c r="AD21" s="4"/>
      <c r="AE21" s="4"/>
      <c r="AF21" s="4"/>
      <c r="AG21" s="4"/>
      <c r="AH21" s="4"/>
      <c r="AI21" s="5">
        <f t="shared" si="12"/>
        <v>6508.7</v>
      </c>
      <c r="AJ21" s="4"/>
      <c r="AK21" s="5">
        <f>119.35</f>
        <v>119.35</v>
      </c>
      <c r="AL21" s="5">
        <f t="shared" si="13"/>
        <v>119.35</v>
      </c>
      <c r="AM21" s="4"/>
      <c r="AN21" s="4"/>
      <c r="AO21" s="4"/>
      <c r="AP21" s="4"/>
      <c r="AQ21" s="4"/>
      <c r="AR21" s="5">
        <f>175</f>
        <v>175</v>
      </c>
      <c r="AS21" s="4"/>
      <c r="AT21" s="5">
        <f>210</f>
        <v>210</v>
      </c>
      <c r="AU21" s="5">
        <f>667.29</f>
        <v>667.29</v>
      </c>
      <c r="AV21" s="5">
        <f t="shared" si="14"/>
        <v>1052.29</v>
      </c>
      <c r="AW21" s="4"/>
      <c r="AX21" s="5">
        <f t="shared" si="15"/>
        <v>15115.27</v>
      </c>
    </row>
    <row r="22" spans="1:50" x14ac:dyDescent="0.25">
      <c r="A22" s="3" t="s">
        <v>64</v>
      </c>
      <c r="B22" s="4"/>
      <c r="C22" s="4"/>
      <c r="D22" s="4"/>
      <c r="E22" s="4"/>
      <c r="F22" s="4"/>
      <c r="G22" s="4"/>
      <c r="H22" s="4"/>
      <c r="I22" s="5">
        <f t="shared" si="8"/>
        <v>0</v>
      </c>
      <c r="J22" s="5">
        <f>3550.79</f>
        <v>3550.79</v>
      </c>
      <c r="K22" s="4"/>
      <c r="L22" s="5">
        <f>1599.66</f>
        <v>1599.66</v>
      </c>
      <c r="M22" s="5">
        <f>469.34</f>
        <v>469.34</v>
      </c>
      <c r="N22" s="4"/>
      <c r="O22" s="5">
        <f>814.56</f>
        <v>814.56</v>
      </c>
      <c r="P22" s="5">
        <f>1410.56</f>
        <v>1410.56</v>
      </c>
      <c r="Q22" s="4"/>
      <c r="R22" s="5">
        <f>14.16</f>
        <v>14.16</v>
      </c>
      <c r="S22" s="4"/>
      <c r="T22" s="5">
        <f t="shared" si="9"/>
        <v>7859.07</v>
      </c>
      <c r="U22" s="4"/>
      <c r="V22" s="4"/>
      <c r="W22" s="4"/>
      <c r="X22" s="5">
        <f t="shared" si="10"/>
        <v>0</v>
      </c>
      <c r="Y22" s="4"/>
      <c r="Z22" s="5">
        <f>9.04</f>
        <v>9.0399999999999991</v>
      </c>
      <c r="AA22" s="5">
        <f t="shared" si="11"/>
        <v>9.0399999999999991</v>
      </c>
      <c r="AB22" s="5">
        <f>131.06</f>
        <v>131.06</v>
      </c>
      <c r="AC22" s="5">
        <f>9.64</f>
        <v>9.64</v>
      </c>
      <c r="AD22" s="4"/>
      <c r="AE22" s="4"/>
      <c r="AF22" s="4"/>
      <c r="AG22" s="5">
        <f>88.35</f>
        <v>88.35</v>
      </c>
      <c r="AH22" s="5">
        <f>29.23</f>
        <v>29.23</v>
      </c>
      <c r="AI22" s="5">
        <f t="shared" si="12"/>
        <v>258.27999999999997</v>
      </c>
      <c r="AJ22" s="4"/>
      <c r="AK22" s="4"/>
      <c r="AL22" s="5">
        <f t="shared" si="13"/>
        <v>0</v>
      </c>
      <c r="AM22" s="4"/>
      <c r="AN22" s="5">
        <f>409.8</f>
        <v>409.8</v>
      </c>
      <c r="AO22" s="4"/>
      <c r="AP22" s="4"/>
      <c r="AQ22" s="4"/>
      <c r="AR22" s="5">
        <f>845.43</f>
        <v>845.43</v>
      </c>
      <c r="AS22" s="5">
        <f>170.82</f>
        <v>170.82</v>
      </c>
      <c r="AT22" s="4"/>
      <c r="AU22" s="5">
        <f>607.79</f>
        <v>607.79</v>
      </c>
      <c r="AV22" s="5">
        <f t="shared" si="14"/>
        <v>1624.04</v>
      </c>
      <c r="AW22" s="4"/>
      <c r="AX22" s="5">
        <f t="shared" si="15"/>
        <v>10160.23</v>
      </c>
    </row>
    <row r="23" spans="1:50" x14ac:dyDescent="0.25">
      <c r="A23" s="3" t="s">
        <v>65</v>
      </c>
      <c r="B23" s="5">
        <f>3205</f>
        <v>3205</v>
      </c>
      <c r="C23" s="4"/>
      <c r="D23" s="4"/>
      <c r="E23" s="4"/>
      <c r="F23" s="4"/>
      <c r="G23" s="4"/>
      <c r="H23" s="4"/>
      <c r="I23" s="5">
        <f t="shared" si="8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5">
        <f t="shared" si="9"/>
        <v>0</v>
      </c>
      <c r="U23" s="4"/>
      <c r="V23" s="4"/>
      <c r="W23" s="4"/>
      <c r="X23" s="5">
        <f t="shared" si="10"/>
        <v>0</v>
      </c>
      <c r="Y23" s="4"/>
      <c r="Z23" s="4"/>
      <c r="AA23" s="5">
        <f t="shared" si="11"/>
        <v>0</v>
      </c>
      <c r="AB23" s="4"/>
      <c r="AC23" s="4"/>
      <c r="AD23" s="4"/>
      <c r="AE23" s="4"/>
      <c r="AF23" s="4"/>
      <c r="AG23" s="4"/>
      <c r="AH23" s="4"/>
      <c r="AI23" s="5">
        <f t="shared" si="12"/>
        <v>0</v>
      </c>
      <c r="AJ23" s="4"/>
      <c r="AK23" s="4"/>
      <c r="AL23" s="5">
        <f t="shared" si="13"/>
        <v>0</v>
      </c>
      <c r="AM23" s="4"/>
      <c r="AN23" s="4"/>
      <c r="AO23" s="4"/>
      <c r="AP23" s="4"/>
      <c r="AQ23" s="4"/>
      <c r="AR23" s="4"/>
      <c r="AS23" s="4"/>
      <c r="AT23" s="4"/>
      <c r="AU23" s="4"/>
      <c r="AV23" s="5">
        <f t="shared" si="14"/>
        <v>0</v>
      </c>
      <c r="AW23" s="4"/>
      <c r="AX23" s="5">
        <f t="shared" si="15"/>
        <v>3205</v>
      </c>
    </row>
    <row r="24" spans="1:50" x14ac:dyDescent="0.25">
      <c r="A24" s="3" t="s">
        <v>66</v>
      </c>
      <c r="B24" s="5">
        <f>4691.51</f>
        <v>4691.51</v>
      </c>
      <c r="C24" s="4"/>
      <c r="D24" s="4"/>
      <c r="E24" s="5">
        <f>275</f>
        <v>275</v>
      </c>
      <c r="F24" s="5">
        <f>440</f>
        <v>440</v>
      </c>
      <c r="G24" s="4"/>
      <c r="H24" s="5">
        <f>550</f>
        <v>550</v>
      </c>
      <c r="I24" s="5">
        <f t="shared" si="8"/>
        <v>1265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5">
        <f t="shared" si="9"/>
        <v>0</v>
      </c>
      <c r="U24" s="5">
        <f>604</f>
        <v>604</v>
      </c>
      <c r="V24" s="4"/>
      <c r="W24" s="4"/>
      <c r="X24" s="5">
        <f t="shared" si="10"/>
        <v>0</v>
      </c>
      <c r="Y24" s="4"/>
      <c r="Z24" s="5">
        <f>880.67</f>
        <v>880.67</v>
      </c>
      <c r="AA24" s="5">
        <f t="shared" si="11"/>
        <v>880.67</v>
      </c>
      <c r="AB24" s="5">
        <f>84.33</f>
        <v>84.33</v>
      </c>
      <c r="AC24" s="4"/>
      <c r="AD24" s="5">
        <f>1535</f>
        <v>1535</v>
      </c>
      <c r="AE24" s="4"/>
      <c r="AF24" s="5">
        <f>275</f>
        <v>275</v>
      </c>
      <c r="AG24" s="5">
        <f>3655</f>
        <v>3655</v>
      </c>
      <c r="AH24" s="4"/>
      <c r="AI24" s="5">
        <f t="shared" si="12"/>
        <v>5549.33</v>
      </c>
      <c r="AJ24" s="5">
        <f>50</f>
        <v>50</v>
      </c>
      <c r="AK24" s="4"/>
      <c r="AL24" s="5">
        <f t="shared" si="13"/>
        <v>50</v>
      </c>
      <c r="AM24" s="5">
        <f>1000</f>
        <v>1000</v>
      </c>
      <c r="AN24" s="4"/>
      <c r="AO24" s="4"/>
      <c r="AP24" s="5">
        <f>1745</f>
        <v>1745</v>
      </c>
      <c r="AQ24" s="4"/>
      <c r="AR24" s="4"/>
      <c r="AS24" s="4"/>
      <c r="AT24" s="4"/>
      <c r="AU24" s="4"/>
      <c r="AV24" s="5">
        <f t="shared" si="14"/>
        <v>1745</v>
      </c>
      <c r="AW24" s="4"/>
      <c r="AX24" s="5">
        <f t="shared" si="15"/>
        <v>15785.51</v>
      </c>
    </row>
    <row r="25" spans="1:50" x14ac:dyDescent="0.25">
      <c r="A25" s="3" t="s">
        <v>67</v>
      </c>
      <c r="B25" s="5">
        <f>95</f>
        <v>95</v>
      </c>
      <c r="C25" s="4"/>
      <c r="D25" s="4"/>
      <c r="E25" s="4"/>
      <c r="F25" s="4"/>
      <c r="G25" s="4"/>
      <c r="H25" s="4"/>
      <c r="I25" s="5">
        <f t="shared" si="8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5">
        <f t="shared" si="9"/>
        <v>0</v>
      </c>
      <c r="U25" s="4"/>
      <c r="V25" s="4"/>
      <c r="W25" s="4"/>
      <c r="X25" s="5">
        <f t="shared" si="10"/>
        <v>0</v>
      </c>
      <c r="Y25" s="4"/>
      <c r="Z25" s="4"/>
      <c r="AA25" s="5">
        <f t="shared" si="11"/>
        <v>0</v>
      </c>
      <c r="AB25" s="4"/>
      <c r="AC25" s="4"/>
      <c r="AD25" s="4"/>
      <c r="AE25" s="4"/>
      <c r="AF25" s="4"/>
      <c r="AG25" s="4"/>
      <c r="AH25" s="4"/>
      <c r="AI25" s="5">
        <f t="shared" si="12"/>
        <v>0</v>
      </c>
      <c r="AJ25" s="4"/>
      <c r="AK25" s="4"/>
      <c r="AL25" s="5">
        <f t="shared" si="13"/>
        <v>0</v>
      </c>
      <c r="AM25" s="4"/>
      <c r="AN25" s="4"/>
      <c r="AO25" s="4"/>
      <c r="AP25" s="4"/>
      <c r="AQ25" s="4"/>
      <c r="AR25" s="4"/>
      <c r="AS25" s="4"/>
      <c r="AT25" s="4"/>
      <c r="AU25" s="4"/>
      <c r="AV25" s="5">
        <f t="shared" si="14"/>
        <v>0</v>
      </c>
      <c r="AW25" s="4"/>
      <c r="AX25" s="5">
        <f t="shared" si="15"/>
        <v>95</v>
      </c>
    </row>
    <row r="26" spans="1:50" x14ac:dyDescent="0.25">
      <c r="A26" s="3" t="s">
        <v>68</v>
      </c>
      <c r="B26" s="5">
        <f>736.41</f>
        <v>736.41</v>
      </c>
      <c r="C26" s="4"/>
      <c r="D26" s="4"/>
      <c r="E26" s="4"/>
      <c r="F26" s="4"/>
      <c r="G26" s="4"/>
      <c r="H26" s="5">
        <f>29.48</f>
        <v>29.48</v>
      </c>
      <c r="I26" s="5">
        <f t="shared" si="8"/>
        <v>29.48</v>
      </c>
      <c r="J26" s="5">
        <f>2717.83</f>
        <v>2717.83</v>
      </c>
      <c r="K26" s="4"/>
      <c r="L26" s="4"/>
      <c r="M26" s="4"/>
      <c r="N26" s="4"/>
      <c r="O26" s="4"/>
      <c r="P26" s="5">
        <f>300</f>
        <v>300</v>
      </c>
      <c r="Q26" s="4"/>
      <c r="R26" s="4"/>
      <c r="S26" s="4"/>
      <c r="T26" s="5">
        <f t="shared" si="9"/>
        <v>3017.83</v>
      </c>
      <c r="U26" s="4"/>
      <c r="V26" s="5">
        <f>36.25</f>
        <v>36.25</v>
      </c>
      <c r="W26" s="4"/>
      <c r="X26" s="5">
        <f t="shared" si="10"/>
        <v>36.25</v>
      </c>
      <c r="Y26" s="4"/>
      <c r="Z26" s="4"/>
      <c r="AA26" s="5">
        <f t="shared" si="11"/>
        <v>0</v>
      </c>
      <c r="AB26" s="5">
        <f>209.45</f>
        <v>209.45</v>
      </c>
      <c r="AC26" s="5">
        <f>171.65</f>
        <v>171.65</v>
      </c>
      <c r="AD26" s="5">
        <f>274.75</f>
        <v>274.75</v>
      </c>
      <c r="AE26" s="4"/>
      <c r="AF26" s="4"/>
      <c r="AG26" s="5">
        <f>1088.76</f>
        <v>1088.76</v>
      </c>
      <c r="AH26" s="4"/>
      <c r="AI26" s="5">
        <f t="shared" si="12"/>
        <v>1744.6100000000001</v>
      </c>
      <c r="AJ26" s="4"/>
      <c r="AK26" s="4"/>
      <c r="AL26" s="5">
        <f t="shared" si="13"/>
        <v>0</v>
      </c>
      <c r="AM26" s="4"/>
      <c r="AN26" s="4"/>
      <c r="AO26" s="4"/>
      <c r="AP26" s="4"/>
      <c r="AQ26" s="4"/>
      <c r="AR26" s="4"/>
      <c r="AS26" s="4"/>
      <c r="AT26" s="5">
        <f>10.66</f>
        <v>10.66</v>
      </c>
      <c r="AU26" s="5">
        <f>383</f>
        <v>383</v>
      </c>
      <c r="AV26" s="5">
        <f t="shared" si="14"/>
        <v>393.66</v>
      </c>
      <c r="AW26" s="4"/>
      <c r="AX26" s="5">
        <f t="shared" si="15"/>
        <v>5958.24</v>
      </c>
    </row>
    <row r="27" spans="1:50" x14ac:dyDescent="0.25">
      <c r="A27" s="3" t="s">
        <v>69</v>
      </c>
      <c r="B27" s="5">
        <f>252</f>
        <v>252</v>
      </c>
      <c r="C27" s="4"/>
      <c r="D27" s="4"/>
      <c r="E27" s="5">
        <f>21590</f>
        <v>21590</v>
      </c>
      <c r="F27" s="4"/>
      <c r="G27" s="4"/>
      <c r="H27" s="5">
        <f>750.25</f>
        <v>750.25</v>
      </c>
      <c r="I27" s="5">
        <f t="shared" si="8"/>
        <v>22340.25</v>
      </c>
      <c r="J27" s="4"/>
      <c r="K27" s="4"/>
      <c r="L27" s="5">
        <f>1075.5</f>
        <v>1075.5</v>
      </c>
      <c r="M27" s="5">
        <f>1737.37</f>
        <v>1737.37</v>
      </c>
      <c r="N27" s="5">
        <f>1320</f>
        <v>1320</v>
      </c>
      <c r="O27" s="5">
        <f>5804.16</f>
        <v>5804.16</v>
      </c>
      <c r="P27" s="5">
        <f>827.5</f>
        <v>827.5</v>
      </c>
      <c r="Q27" s="5">
        <f>4575</f>
        <v>4575</v>
      </c>
      <c r="R27" s="5">
        <f>1963.5</f>
        <v>1963.5</v>
      </c>
      <c r="S27" s="5">
        <f>2306.88</f>
        <v>2306.88</v>
      </c>
      <c r="T27" s="5">
        <f t="shared" si="9"/>
        <v>19609.91</v>
      </c>
      <c r="U27" s="4"/>
      <c r="V27" s="4"/>
      <c r="W27" s="4"/>
      <c r="X27" s="5">
        <f t="shared" si="10"/>
        <v>0</v>
      </c>
      <c r="Y27" s="4"/>
      <c r="Z27" s="5">
        <f>2000</f>
        <v>2000</v>
      </c>
      <c r="AA27" s="5">
        <f t="shared" si="11"/>
        <v>2000</v>
      </c>
      <c r="AB27" s="5">
        <f>100</f>
        <v>100</v>
      </c>
      <c r="AC27" s="5">
        <f>23128.79</f>
        <v>23128.79</v>
      </c>
      <c r="AD27" s="4"/>
      <c r="AE27" s="4"/>
      <c r="AF27" s="5">
        <f>1400</f>
        <v>1400</v>
      </c>
      <c r="AG27" s="4"/>
      <c r="AH27" s="4"/>
      <c r="AI27" s="5">
        <f t="shared" si="12"/>
        <v>24628.79</v>
      </c>
      <c r="AJ27" s="5">
        <f>964.06</f>
        <v>964.06</v>
      </c>
      <c r="AK27" s="4"/>
      <c r="AL27" s="5">
        <f t="shared" si="13"/>
        <v>964.06</v>
      </c>
      <c r="AM27" s="4"/>
      <c r="AN27" s="4"/>
      <c r="AO27" s="4"/>
      <c r="AP27" s="4"/>
      <c r="AQ27" s="4"/>
      <c r="AR27" s="4"/>
      <c r="AS27" s="4"/>
      <c r="AT27" s="4"/>
      <c r="AU27" s="4"/>
      <c r="AV27" s="5">
        <f t="shared" si="14"/>
        <v>0</v>
      </c>
      <c r="AW27" s="4"/>
      <c r="AX27" s="5">
        <f t="shared" si="15"/>
        <v>69795.010000000009</v>
      </c>
    </row>
    <row r="28" spans="1:50" x14ac:dyDescent="0.25">
      <c r="A28" s="3" t="s">
        <v>70</v>
      </c>
      <c r="B28" s="5">
        <f>781</f>
        <v>781</v>
      </c>
      <c r="C28" s="4"/>
      <c r="D28" s="4"/>
      <c r="E28" s="5">
        <f>133.75</f>
        <v>133.75</v>
      </c>
      <c r="F28" s="4"/>
      <c r="G28" s="4"/>
      <c r="H28" s="4"/>
      <c r="I28" s="5">
        <f t="shared" si="8"/>
        <v>133.75</v>
      </c>
      <c r="J28" s="5">
        <f>125</f>
        <v>125</v>
      </c>
      <c r="K28" s="4"/>
      <c r="L28" s="5">
        <f>3744.09</f>
        <v>3744.09</v>
      </c>
      <c r="M28" s="5">
        <f>3550.22</f>
        <v>3550.22</v>
      </c>
      <c r="N28" s="5">
        <f>4492.13</f>
        <v>4492.13</v>
      </c>
      <c r="O28" s="5">
        <f>4575.22</f>
        <v>4575.22</v>
      </c>
      <c r="P28" s="5">
        <f>2495.73</f>
        <v>2495.73</v>
      </c>
      <c r="Q28" s="5">
        <f>2578.93</f>
        <v>2578.9299999999998</v>
      </c>
      <c r="R28" s="5">
        <f>2255.42</f>
        <v>2255.42</v>
      </c>
      <c r="S28" s="5">
        <f>6263.19</f>
        <v>6263.19</v>
      </c>
      <c r="T28" s="5">
        <f t="shared" si="9"/>
        <v>30079.929999999997</v>
      </c>
      <c r="U28" s="4"/>
      <c r="V28" s="4"/>
      <c r="W28" s="4"/>
      <c r="X28" s="5">
        <f t="shared" si="10"/>
        <v>0</v>
      </c>
      <c r="Y28" s="4"/>
      <c r="Z28" s="5">
        <f>1352.8</f>
        <v>1352.8</v>
      </c>
      <c r="AA28" s="5">
        <f t="shared" si="11"/>
        <v>1352.8</v>
      </c>
      <c r="AB28" s="5">
        <f>42.07</f>
        <v>42.07</v>
      </c>
      <c r="AC28" s="5">
        <f>6800</f>
        <v>6800</v>
      </c>
      <c r="AD28" s="4"/>
      <c r="AE28" s="5">
        <f>601.75</f>
        <v>601.75</v>
      </c>
      <c r="AF28" s="5">
        <f>975</f>
        <v>975</v>
      </c>
      <c r="AG28" s="4"/>
      <c r="AH28" s="4"/>
      <c r="AI28" s="5">
        <f t="shared" si="12"/>
        <v>8418.82</v>
      </c>
      <c r="AJ28" s="5">
        <f>5846.15</f>
        <v>5846.15</v>
      </c>
      <c r="AK28" s="4"/>
      <c r="AL28" s="5">
        <f t="shared" si="13"/>
        <v>5846.15</v>
      </c>
      <c r="AM28" s="4"/>
      <c r="AN28" s="5">
        <f>18444.85</f>
        <v>18444.849999999999</v>
      </c>
      <c r="AO28" s="4"/>
      <c r="AP28" s="5">
        <f>1270.83</f>
        <v>1270.83</v>
      </c>
      <c r="AQ28" s="4"/>
      <c r="AR28" s="5">
        <f>4551.27</f>
        <v>4551.2700000000004</v>
      </c>
      <c r="AS28" s="4"/>
      <c r="AT28" s="5">
        <f>167.43</f>
        <v>167.43</v>
      </c>
      <c r="AU28" s="5">
        <f>23412.32</f>
        <v>23412.32</v>
      </c>
      <c r="AV28" s="5">
        <f t="shared" si="14"/>
        <v>29401.85</v>
      </c>
      <c r="AW28" s="4"/>
      <c r="AX28" s="5">
        <f t="shared" si="15"/>
        <v>94459.15</v>
      </c>
    </row>
    <row r="29" spans="1:50" x14ac:dyDescent="0.25">
      <c r="A29" s="3" t="s">
        <v>71</v>
      </c>
      <c r="B29" s="5">
        <f>3446.87</f>
        <v>3446.87</v>
      </c>
      <c r="C29" s="4"/>
      <c r="D29" s="4"/>
      <c r="E29" s="4"/>
      <c r="F29" s="4"/>
      <c r="G29" s="4"/>
      <c r="H29" s="5">
        <f>356.5</f>
        <v>356.5</v>
      </c>
      <c r="I29" s="5">
        <f t="shared" si="8"/>
        <v>356.5</v>
      </c>
      <c r="J29" s="4"/>
      <c r="K29" s="4"/>
      <c r="L29" s="4"/>
      <c r="M29" s="4"/>
      <c r="N29" s="5">
        <f>896.58</f>
        <v>896.58</v>
      </c>
      <c r="O29" s="4"/>
      <c r="P29" s="5">
        <f>1332.02</f>
        <v>1332.02</v>
      </c>
      <c r="Q29" s="5">
        <f>747.76</f>
        <v>747.76</v>
      </c>
      <c r="R29" s="5">
        <f>361.45</f>
        <v>361.45</v>
      </c>
      <c r="S29" s="5">
        <f>77.25</f>
        <v>77.25</v>
      </c>
      <c r="T29" s="5">
        <f t="shared" si="9"/>
        <v>3415.0599999999995</v>
      </c>
      <c r="U29" s="4"/>
      <c r="V29" s="4"/>
      <c r="W29" s="4"/>
      <c r="X29" s="5">
        <f t="shared" si="10"/>
        <v>0</v>
      </c>
      <c r="Y29" s="4"/>
      <c r="Z29" s="5">
        <f>78.96</f>
        <v>78.959999999999994</v>
      </c>
      <c r="AA29" s="5">
        <f t="shared" si="11"/>
        <v>78.959999999999994</v>
      </c>
      <c r="AB29" s="5">
        <f>1376.61</f>
        <v>1376.61</v>
      </c>
      <c r="AC29" s="5">
        <f>482.17</f>
        <v>482.17</v>
      </c>
      <c r="AD29" s="4"/>
      <c r="AE29" s="4"/>
      <c r="AF29" s="4"/>
      <c r="AG29" s="4"/>
      <c r="AH29" s="4"/>
      <c r="AI29" s="5">
        <f t="shared" si="12"/>
        <v>1858.78</v>
      </c>
      <c r="AJ29" s="4"/>
      <c r="AK29" s="4"/>
      <c r="AL29" s="5">
        <f t="shared" si="13"/>
        <v>0</v>
      </c>
      <c r="AM29" s="4"/>
      <c r="AN29" s="5">
        <f>433.95</f>
        <v>433.95</v>
      </c>
      <c r="AO29" s="4"/>
      <c r="AP29" s="4"/>
      <c r="AQ29" s="4"/>
      <c r="AR29" s="5">
        <f>172.38</f>
        <v>172.38</v>
      </c>
      <c r="AS29" s="4"/>
      <c r="AT29" s="5">
        <f>9.72</f>
        <v>9.7200000000000006</v>
      </c>
      <c r="AU29" s="5">
        <f>125.23</f>
        <v>125.23</v>
      </c>
      <c r="AV29" s="5">
        <f t="shared" si="14"/>
        <v>307.33</v>
      </c>
      <c r="AW29" s="4"/>
      <c r="AX29" s="5">
        <f t="shared" si="15"/>
        <v>9897.4500000000007</v>
      </c>
    </row>
    <row r="30" spans="1:50" x14ac:dyDescent="0.25">
      <c r="A30" s="3" t="s">
        <v>72</v>
      </c>
      <c r="B30" s="5">
        <f>11.37</f>
        <v>11.37</v>
      </c>
      <c r="C30" s="4"/>
      <c r="D30" s="4"/>
      <c r="E30" s="4"/>
      <c r="F30" s="4"/>
      <c r="G30" s="4"/>
      <c r="H30" s="4"/>
      <c r="I30" s="5">
        <f t="shared" si="8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5">
        <f t="shared" si="9"/>
        <v>0</v>
      </c>
      <c r="U30" s="4"/>
      <c r="V30" s="4"/>
      <c r="W30" s="4"/>
      <c r="X30" s="5">
        <f t="shared" si="10"/>
        <v>0</v>
      </c>
      <c r="Y30" s="4"/>
      <c r="Z30" s="4"/>
      <c r="AA30" s="5">
        <f t="shared" si="11"/>
        <v>0</v>
      </c>
      <c r="AB30" s="4"/>
      <c r="AC30" s="4"/>
      <c r="AD30" s="4"/>
      <c r="AE30" s="4"/>
      <c r="AF30" s="4"/>
      <c r="AG30" s="4"/>
      <c r="AH30" s="4"/>
      <c r="AI30" s="5">
        <f t="shared" si="12"/>
        <v>0</v>
      </c>
      <c r="AJ30" s="4"/>
      <c r="AK30" s="4"/>
      <c r="AL30" s="5">
        <f t="shared" si="13"/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5">
        <f t="shared" si="14"/>
        <v>0</v>
      </c>
      <c r="AW30" s="4"/>
      <c r="AX30" s="5">
        <f t="shared" si="15"/>
        <v>11.37</v>
      </c>
    </row>
    <row r="31" spans="1:50" x14ac:dyDescent="0.25">
      <c r="A31" s="3" t="s">
        <v>73</v>
      </c>
      <c r="B31" s="5">
        <f>2080.05</f>
        <v>2080.0500000000002</v>
      </c>
      <c r="C31" s="4"/>
      <c r="D31" s="4"/>
      <c r="E31" s="4"/>
      <c r="F31" s="4"/>
      <c r="G31" s="4"/>
      <c r="H31" s="4"/>
      <c r="I31" s="5">
        <f t="shared" si="8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5">
        <f t="shared" si="9"/>
        <v>0</v>
      </c>
      <c r="U31" s="4"/>
      <c r="V31" s="4"/>
      <c r="W31" s="4"/>
      <c r="X31" s="5">
        <f t="shared" si="10"/>
        <v>0</v>
      </c>
      <c r="Y31" s="4"/>
      <c r="Z31" s="4"/>
      <c r="AA31" s="5">
        <f t="shared" si="11"/>
        <v>0</v>
      </c>
      <c r="AB31" s="4"/>
      <c r="AC31" s="4"/>
      <c r="AD31" s="4"/>
      <c r="AE31" s="4"/>
      <c r="AF31" s="4"/>
      <c r="AG31" s="4"/>
      <c r="AH31" s="4"/>
      <c r="AI31" s="5">
        <f t="shared" si="12"/>
        <v>0</v>
      </c>
      <c r="AJ31" s="4"/>
      <c r="AK31" s="4"/>
      <c r="AL31" s="5">
        <f t="shared" si="13"/>
        <v>0</v>
      </c>
      <c r="AM31" s="4"/>
      <c r="AN31" s="4"/>
      <c r="AO31" s="4"/>
      <c r="AP31" s="4"/>
      <c r="AQ31" s="4"/>
      <c r="AR31" s="4"/>
      <c r="AS31" s="4"/>
      <c r="AT31" s="4"/>
      <c r="AU31" s="4"/>
      <c r="AV31" s="5">
        <f t="shared" si="14"/>
        <v>0</v>
      </c>
      <c r="AW31" s="4"/>
      <c r="AX31" s="5">
        <f t="shared" si="15"/>
        <v>2080.0500000000002</v>
      </c>
    </row>
    <row r="32" spans="1:50" x14ac:dyDescent="0.25">
      <c r="A32" s="3" t="s">
        <v>74</v>
      </c>
      <c r="B32" s="4"/>
      <c r="C32" s="4"/>
      <c r="D32" s="4"/>
      <c r="E32" s="4"/>
      <c r="F32" s="4"/>
      <c r="G32" s="4"/>
      <c r="H32" s="4"/>
      <c r="I32" s="5">
        <f t="shared" si="8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5">
        <f t="shared" si="9"/>
        <v>0</v>
      </c>
      <c r="U32" s="4"/>
      <c r="V32" s="4"/>
      <c r="W32" s="4"/>
      <c r="X32" s="5">
        <f t="shared" si="10"/>
        <v>0</v>
      </c>
      <c r="Y32" s="4"/>
      <c r="Z32" s="4"/>
      <c r="AA32" s="5">
        <f t="shared" si="11"/>
        <v>0</v>
      </c>
      <c r="AB32" s="4"/>
      <c r="AC32" s="4"/>
      <c r="AD32" s="4"/>
      <c r="AE32" s="4"/>
      <c r="AF32" s="4"/>
      <c r="AG32" s="4"/>
      <c r="AH32" s="4"/>
      <c r="AI32" s="5">
        <f t="shared" si="12"/>
        <v>0</v>
      </c>
      <c r="AJ32" s="4"/>
      <c r="AK32" s="4"/>
      <c r="AL32" s="5">
        <f t="shared" si="13"/>
        <v>0</v>
      </c>
      <c r="AM32" s="4"/>
      <c r="AN32" s="4"/>
      <c r="AO32" s="4"/>
      <c r="AP32" s="4"/>
      <c r="AQ32" s="4"/>
      <c r="AR32" s="4"/>
      <c r="AS32" s="4"/>
      <c r="AT32" s="4"/>
      <c r="AU32" s="4"/>
      <c r="AV32" s="5">
        <f t="shared" si="14"/>
        <v>0</v>
      </c>
      <c r="AW32" s="4"/>
      <c r="AX32" s="5">
        <f t="shared" si="15"/>
        <v>0</v>
      </c>
    </row>
    <row r="33" spans="1:50" x14ac:dyDescent="0.25">
      <c r="A33" s="3" t="s">
        <v>75</v>
      </c>
      <c r="B33" s="5">
        <f>1436.52</f>
        <v>1436.52</v>
      </c>
      <c r="C33" s="4"/>
      <c r="D33" s="4"/>
      <c r="E33" s="5">
        <f>851.94</f>
        <v>851.94</v>
      </c>
      <c r="F33" s="5">
        <f>493.33</f>
        <v>493.33</v>
      </c>
      <c r="G33" s="5">
        <f>1241.62</f>
        <v>1241.6199999999999</v>
      </c>
      <c r="H33" s="5">
        <f>329.74</f>
        <v>329.74</v>
      </c>
      <c r="I33" s="5">
        <f t="shared" si="8"/>
        <v>2916.63</v>
      </c>
      <c r="J33" s="4"/>
      <c r="K33" s="5">
        <f>165.96</f>
        <v>165.96</v>
      </c>
      <c r="L33" s="4"/>
      <c r="M33" s="4"/>
      <c r="N33" s="4"/>
      <c r="O33" s="4"/>
      <c r="P33" s="4"/>
      <c r="Q33" s="4"/>
      <c r="R33" s="4"/>
      <c r="S33" s="4"/>
      <c r="T33" s="5">
        <f t="shared" si="9"/>
        <v>165.96</v>
      </c>
      <c r="U33" s="4"/>
      <c r="V33" s="4"/>
      <c r="W33" s="4"/>
      <c r="X33" s="5">
        <f t="shared" si="10"/>
        <v>0</v>
      </c>
      <c r="Y33" s="4"/>
      <c r="Z33" s="5">
        <f>411.92</f>
        <v>411.92</v>
      </c>
      <c r="AA33" s="5">
        <f t="shared" si="11"/>
        <v>411.92</v>
      </c>
      <c r="AB33" s="5">
        <f>2126.66</f>
        <v>2126.66</v>
      </c>
      <c r="AC33" s="5">
        <f>3628.22</f>
        <v>3628.22</v>
      </c>
      <c r="AD33" s="5">
        <f>3789.3</f>
        <v>3789.3</v>
      </c>
      <c r="AE33" s="5">
        <f>1885.64</f>
        <v>1885.64</v>
      </c>
      <c r="AF33" s="5">
        <f>1719.34</f>
        <v>1719.34</v>
      </c>
      <c r="AG33" s="5">
        <f>7323.41</f>
        <v>7323.41</v>
      </c>
      <c r="AH33" s="5">
        <f>143</f>
        <v>143</v>
      </c>
      <c r="AI33" s="5">
        <f t="shared" si="12"/>
        <v>20615.57</v>
      </c>
      <c r="AJ33" s="4"/>
      <c r="AK33" s="4"/>
      <c r="AL33" s="5">
        <f t="shared" si="13"/>
        <v>0</v>
      </c>
      <c r="AM33" s="4"/>
      <c r="AN33" s="4"/>
      <c r="AO33" s="4"/>
      <c r="AP33" s="5">
        <f>1746.22</f>
        <v>1746.22</v>
      </c>
      <c r="AQ33" s="4"/>
      <c r="AR33" s="5">
        <f>30</f>
        <v>30</v>
      </c>
      <c r="AS33" s="4"/>
      <c r="AT33" s="4"/>
      <c r="AU33" s="5">
        <f>308.6</f>
        <v>308.60000000000002</v>
      </c>
      <c r="AV33" s="5">
        <f t="shared" si="14"/>
        <v>2084.8200000000002</v>
      </c>
      <c r="AW33" s="5">
        <f>109.96</f>
        <v>109.96</v>
      </c>
      <c r="AX33" s="5">
        <f t="shared" si="15"/>
        <v>27741.379999999997</v>
      </c>
    </row>
    <row r="34" spans="1:50" x14ac:dyDescent="0.25">
      <c r="A34" s="3" t="s">
        <v>76</v>
      </c>
      <c r="B34" s="5">
        <f>193.74</f>
        <v>193.74</v>
      </c>
      <c r="C34" s="4"/>
      <c r="D34" s="4"/>
      <c r="E34" s="5">
        <f>141.49</f>
        <v>141.49</v>
      </c>
      <c r="F34" s="5">
        <f>246.43</f>
        <v>246.43</v>
      </c>
      <c r="G34" s="5">
        <f>272.11</f>
        <v>272.11</v>
      </c>
      <c r="H34" s="5">
        <f>198.96</f>
        <v>198.96</v>
      </c>
      <c r="I34" s="5">
        <f t="shared" si="8"/>
        <v>858.99</v>
      </c>
      <c r="J34" s="4"/>
      <c r="K34" s="5">
        <f>148.48</f>
        <v>148.47999999999999</v>
      </c>
      <c r="L34" s="4"/>
      <c r="M34" s="4"/>
      <c r="N34" s="4"/>
      <c r="O34" s="4"/>
      <c r="P34" s="4"/>
      <c r="Q34" s="4"/>
      <c r="R34" s="4"/>
      <c r="S34" s="4"/>
      <c r="T34" s="5">
        <f t="shared" si="9"/>
        <v>148.47999999999999</v>
      </c>
      <c r="U34" s="4"/>
      <c r="V34" s="4"/>
      <c r="W34" s="4"/>
      <c r="X34" s="5">
        <f t="shared" si="10"/>
        <v>0</v>
      </c>
      <c r="Y34" s="4"/>
      <c r="Z34" s="5">
        <f>951.5</f>
        <v>951.5</v>
      </c>
      <c r="AA34" s="5">
        <f t="shared" si="11"/>
        <v>951.5</v>
      </c>
      <c r="AB34" s="5">
        <f>340.05</f>
        <v>340.05</v>
      </c>
      <c r="AC34" s="5">
        <f>1003.59</f>
        <v>1003.59</v>
      </c>
      <c r="AD34" s="5">
        <f>508.4</f>
        <v>508.4</v>
      </c>
      <c r="AE34" s="5">
        <f>304.93</f>
        <v>304.93</v>
      </c>
      <c r="AF34" s="5">
        <f>188.78</f>
        <v>188.78</v>
      </c>
      <c r="AG34" s="5">
        <f>1077.78</f>
        <v>1077.78</v>
      </c>
      <c r="AH34" s="5">
        <f>382.06</f>
        <v>382.06</v>
      </c>
      <c r="AI34" s="5">
        <f t="shared" si="12"/>
        <v>3805.5899999999997</v>
      </c>
      <c r="AJ34" s="4"/>
      <c r="AK34" s="5">
        <f>108.87</f>
        <v>108.87</v>
      </c>
      <c r="AL34" s="5">
        <f t="shared" si="13"/>
        <v>108.87</v>
      </c>
      <c r="AM34" s="4"/>
      <c r="AN34" s="4"/>
      <c r="AO34" s="4"/>
      <c r="AP34" s="5">
        <f>287.88</f>
        <v>287.88</v>
      </c>
      <c r="AQ34" s="5">
        <f>19.62</f>
        <v>19.62</v>
      </c>
      <c r="AR34" s="5">
        <f>69.43</f>
        <v>69.430000000000007</v>
      </c>
      <c r="AS34" s="4"/>
      <c r="AT34" s="4"/>
      <c r="AU34" s="4"/>
      <c r="AV34" s="5">
        <f t="shared" si="14"/>
        <v>376.93</v>
      </c>
      <c r="AW34" s="5">
        <f>90.37</f>
        <v>90.37</v>
      </c>
      <c r="AX34" s="5">
        <f t="shared" si="15"/>
        <v>6534.4699999999993</v>
      </c>
    </row>
    <row r="35" spans="1:50" x14ac:dyDescent="0.25">
      <c r="A35" s="3" t="s">
        <v>77</v>
      </c>
      <c r="B35" s="5">
        <f>1266.92</f>
        <v>1266.92</v>
      </c>
      <c r="C35" s="4"/>
      <c r="D35" s="4"/>
      <c r="E35" s="4"/>
      <c r="F35" s="5">
        <f>340.77</f>
        <v>340.77</v>
      </c>
      <c r="G35" s="5">
        <f>2632.82</f>
        <v>2632.82</v>
      </c>
      <c r="H35" s="5">
        <f>319.14</f>
        <v>319.14</v>
      </c>
      <c r="I35" s="5">
        <f t="shared" si="8"/>
        <v>3292.73</v>
      </c>
      <c r="J35" s="4"/>
      <c r="K35" s="5">
        <f>234.7</f>
        <v>234.7</v>
      </c>
      <c r="L35" s="4"/>
      <c r="M35" s="4"/>
      <c r="N35" s="4"/>
      <c r="O35" s="4"/>
      <c r="P35" s="4"/>
      <c r="Q35" s="4"/>
      <c r="R35" s="4"/>
      <c r="S35" s="4"/>
      <c r="T35" s="5">
        <f t="shared" si="9"/>
        <v>234.7</v>
      </c>
      <c r="U35" s="4"/>
      <c r="V35" s="4"/>
      <c r="W35" s="4"/>
      <c r="X35" s="5">
        <f t="shared" si="10"/>
        <v>0</v>
      </c>
      <c r="Y35" s="4"/>
      <c r="Z35" s="5">
        <f>269.04</f>
        <v>269.04000000000002</v>
      </c>
      <c r="AA35" s="5">
        <f t="shared" si="11"/>
        <v>269.04000000000002</v>
      </c>
      <c r="AB35" s="5">
        <f>1882.76</f>
        <v>1882.76</v>
      </c>
      <c r="AC35" s="5">
        <f>5834.93</f>
        <v>5834.93</v>
      </c>
      <c r="AD35" s="5">
        <f>9692.65</f>
        <v>9692.65</v>
      </c>
      <c r="AE35" s="5">
        <f>396.72</f>
        <v>396.72</v>
      </c>
      <c r="AF35" s="5">
        <f>1317.13</f>
        <v>1317.13</v>
      </c>
      <c r="AG35" s="5">
        <f>9210.68</f>
        <v>9210.68</v>
      </c>
      <c r="AH35" s="5">
        <f>3065.21</f>
        <v>3065.21</v>
      </c>
      <c r="AI35" s="5">
        <f t="shared" si="12"/>
        <v>31400.080000000002</v>
      </c>
      <c r="AJ35" s="4"/>
      <c r="AK35" s="5">
        <f>1678.18</f>
        <v>1678.18</v>
      </c>
      <c r="AL35" s="5">
        <f t="shared" si="13"/>
        <v>1678.18</v>
      </c>
      <c r="AM35" s="4"/>
      <c r="AN35" s="4"/>
      <c r="AO35" s="4"/>
      <c r="AP35" s="5">
        <f>2768.24</f>
        <v>2768.24</v>
      </c>
      <c r="AQ35" s="5">
        <f>142.51</f>
        <v>142.51</v>
      </c>
      <c r="AR35" s="5">
        <f>370.44</f>
        <v>370.44</v>
      </c>
      <c r="AS35" s="4"/>
      <c r="AT35" s="4"/>
      <c r="AU35" s="4"/>
      <c r="AV35" s="5">
        <f t="shared" si="14"/>
        <v>3281.19</v>
      </c>
      <c r="AW35" s="4"/>
      <c r="AX35" s="5">
        <f t="shared" si="15"/>
        <v>41422.840000000004</v>
      </c>
    </row>
    <row r="36" spans="1:50" x14ac:dyDescent="0.25">
      <c r="A36" s="3" t="s">
        <v>78</v>
      </c>
      <c r="B36" s="5">
        <f>148.74</f>
        <v>148.74</v>
      </c>
      <c r="C36" s="5">
        <f>52.83</f>
        <v>52.83</v>
      </c>
      <c r="D36" s="4"/>
      <c r="E36" s="5">
        <f>131.01</f>
        <v>131.01</v>
      </c>
      <c r="F36" s="5">
        <f>139.42</f>
        <v>139.41999999999999</v>
      </c>
      <c r="G36" s="4"/>
      <c r="H36" s="5">
        <f>70.18</f>
        <v>70.180000000000007</v>
      </c>
      <c r="I36" s="5">
        <f t="shared" si="8"/>
        <v>340.60999999999996</v>
      </c>
      <c r="J36" s="4"/>
      <c r="K36" s="5">
        <f>113.28</f>
        <v>113.28</v>
      </c>
      <c r="L36" s="4"/>
      <c r="M36" s="4"/>
      <c r="N36" s="4"/>
      <c r="O36" s="4"/>
      <c r="P36" s="4"/>
      <c r="Q36" s="4"/>
      <c r="R36" s="4"/>
      <c r="S36" s="4"/>
      <c r="T36" s="5">
        <f t="shared" si="9"/>
        <v>113.28</v>
      </c>
      <c r="U36" s="4"/>
      <c r="V36" s="4"/>
      <c r="W36" s="4"/>
      <c r="X36" s="5">
        <f t="shared" si="10"/>
        <v>0</v>
      </c>
      <c r="Y36" s="4"/>
      <c r="Z36" s="5">
        <f>138.37</f>
        <v>138.37</v>
      </c>
      <c r="AA36" s="5">
        <f t="shared" si="11"/>
        <v>138.37</v>
      </c>
      <c r="AB36" s="5">
        <f>2118.92</f>
        <v>2118.92</v>
      </c>
      <c r="AC36" s="5">
        <f>4951.59</f>
        <v>4951.59</v>
      </c>
      <c r="AD36" s="5">
        <f>770.21</f>
        <v>770.21</v>
      </c>
      <c r="AE36" s="5">
        <f>250.15</f>
        <v>250.15</v>
      </c>
      <c r="AF36" s="5">
        <f>253.1</f>
        <v>253.1</v>
      </c>
      <c r="AG36" s="5">
        <f>1341.54</f>
        <v>1341.54</v>
      </c>
      <c r="AH36" s="5">
        <f>436.33</f>
        <v>436.33</v>
      </c>
      <c r="AI36" s="5">
        <f t="shared" si="12"/>
        <v>10121.839999999998</v>
      </c>
      <c r="AJ36" s="4"/>
      <c r="AK36" s="5">
        <f>222.94</f>
        <v>222.94</v>
      </c>
      <c r="AL36" s="5">
        <f t="shared" si="13"/>
        <v>222.94</v>
      </c>
      <c r="AM36" s="4"/>
      <c r="AN36" s="4"/>
      <c r="AO36" s="4"/>
      <c r="AP36" s="5">
        <f>136.98</f>
        <v>136.97999999999999</v>
      </c>
      <c r="AQ36" s="5">
        <f>1708.5</f>
        <v>1708.5</v>
      </c>
      <c r="AR36" s="5">
        <f>37.46</f>
        <v>37.46</v>
      </c>
      <c r="AS36" s="4"/>
      <c r="AT36" s="4"/>
      <c r="AU36" s="4"/>
      <c r="AV36" s="5">
        <f t="shared" si="14"/>
        <v>1882.94</v>
      </c>
      <c r="AW36" s="4"/>
      <c r="AX36" s="5">
        <f t="shared" si="15"/>
        <v>13021.55</v>
      </c>
    </row>
    <row r="37" spans="1:50" x14ac:dyDescent="0.25">
      <c r="A37" s="3" t="s">
        <v>79</v>
      </c>
      <c r="B37" s="5">
        <f>48</f>
        <v>48</v>
      </c>
      <c r="C37" s="4"/>
      <c r="D37" s="4"/>
      <c r="E37" s="4"/>
      <c r="F37" s="5">
        <f>77.28</f>
        <v>77.28</v>
      </c>
      <c r="G37" s="4"/>
      <c r="H37" s="5">
        <f>15</f>
        <v>15</v>
      </c>
      <c r="I37" s="5">
        <f t="shared" si="8"/>
        <v>92.28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5">
        <f t="shared" si="9"/>
        <v>0</v>
      </c>
      <c r="U37" s="4"/>
      <c r="V37" s="4"/>
      <c r="W37" s="4"/>
      <c r="X37" s="5">
        <f t="shared" si="10"/>
        <v>0</v>
      </c>
      <c r="Y37" s="4"/>
      <c r="Z37" s="4"/>
      <c r="AA37" s="5">
        <f t="shared" si="11"/>
        <v>0</v>
      </c>
      <c r="AB37" s="4"/>
      <c r="AC37" s="5">
        <f>552</f>
        <v>552</v>
      </c>
      <c r="AD37" s="5">
        <f>90</f>
        <v>90</v>
      </c>
      <c r="AE37" s="5">
        <f>143</f>
        <v>143</v>
      </c>
      <c r="AF37" s="5">
        <f>260.94</f>
        <v>260.94</v>
      </c>
      <c r="AG37" s="5">
        <f>493.8</f>
        <v>493.8</v>
      </c>
      <c r="AH37" s="5">
        <f>125</f>
        <v>125</v>
      </c>
      <c r="AI37" s="5">
        <f t="shared" si="12"/>
        <v>1664.74</v>
      </c>
      <c r="AJ37" s="4"/>
      <c r="AK37" s="5">
        <f>204.5</f>
        <v>204.5</v>
      </c>
      <c r="AL37" s="5">
        <f t="shared" si="13"/>
        <v>204.5</v>
      </c>
      <c r="AM37" s="4"/>
      <c r="AN37" s="5">
        <f>50</f>
        <v>50</v>
      </c>
      <c r="AO37" s="4"/>
      <c r="AP37" s="4"/>
      <c r="AQ37" s="4"/>
      <c r="AR37" s="4"/>
      <c r="AS37" s="4"/>
      <c r="AT37" s="4"/>
      <c r="AU37" s="5">
        <f>7</f>
        <v>7</v>
      </c>
      <c r="AV37" s="5">
        <f t="shared" si="14"/>
        <v>7</v>
      </c>
      <c r="AW37" s="4"/>
      <c r="AX37" s="5">
        <f t="shared" si="15"/>
        <v>2066.52</v>
      </c>
    </row>
    <row r="38" spans="1:50" x14ac:dyDescent="0.25">
      <c r="A38" s="3" t="s">
        <v>80</v>
      </c>
      <c r="B38" s="4"/>
      <c r="C38" s="4"/>
      <c r="D38" s="4"/>
      <c r="E38" s="4"/>
      <c r="F38" s="5">
        <f>69.11</f>
        <v>69.11</v>
      </c>
      <c r="G38" s="5">
        <f>53.45</f>
        <v>53.45</v>
      </c>
      <c r="H38" s="4"/>
      <c r="I38" s="5">
        <f t="shared" si="8"/>
        <v>122.56</v>
      </c>
      <c r="J38" s="4"/>
      <c r="K38" s="4"/>
      <c r="L38" s="4"/>
      <c r="M38" s="4"/>
      <c r="N38" s="4"/>
      <c r="O38" s="4"/>
      <c r="P38" s="5">
        <f>24.58</f>
        <v>24.58</v>
      </c>
      <c r="Q38" s="4"/>
      <c r="R38" s="4"/>
      <c r="S38" s="4"/>
      <c r="T38" s="5">
        <f t="shared" si="9"/>
        <v>24.58</v>
      </c>
      <c r="U38" s="4"/>
      <c r="V38" s="4"/>
      <c r="W38" s="4"/>
      <c r="X38" s="5">
        <f t="shared" si="10"/>
        <v>0</v>
      </c>
      <c r="Y38" s="4"/>
      <c r="Z38" s="4"/>
      <c r="AA38" s="5">
        <f t="shared" si="11"/>
        <v>0</v>
      </c>
      <c r="AB38" s="5">
        <f>359.84</f>
        <v>359.84</v>
      </c>
      <c r="AC38" s="5">
        <f>316.16</f>
        <v>316.16000000000003</v>
      </c>
      <c r="AD38" s="5">
        <f>33.79</f>
        <v>33.79</v>
      </c>
      <c r="AE38" s="5">
        <f>155.44</f>
        <v>155.44</v>
      </c>
      <c r="AF38" s="5">
        <f>928.32</f>
        <v>928.32</v>
      </c>
      <c r="AG38" s="5">
        <f>53.96</f>
        <v>53.96</v>
      </c>
      <c r="AH38" s="4"/>
      <c r="AI38" s="5">
        <f t="shared" si="12"/>
        <v>1847.5100000000002</v>
      </c>
      <c r="AJ38" s="4"/>
      <c r="AK38" s="4"/>
      <c r="AL38" s="5">
        <f t="shared" si="13"/>
        <v>0</v>
      </c>
      <c r="AM38" s="4"/>
      <c r="AN38" s="4"/>
      <c r="AO38" s="4"/>
      <c r="AP38" s="5">
        <f>590.82</f>
        <v>590.82000000000005</v>
      </c>
      <c r="AQ38" s="4"/>
      <c r="AR38" s="4"/>
      <c r="AS38" s="4"/>
      <c r="AT38" s="4"/>
      <c r="AU38" s="5">
        <f>18.53</f>
        <v>18.53</v>
      </c>
      <c r="AV38" s="5">
        <f t="shared" si="14"/>
        <v>609.35</v>
      </c>
      <c r="AW38" s="4"/>
      <c r="AX38" s="5">
        <f t="shared" si="15"/>
        <v>2604</v>
      </c>
    </row>
    <row r="39" spans="1:50" x14ac:dyDescent="0.25">
      <c r="A39" s="3" t="s">
        <v>81</v>
      </c>
      <c r="B39" s="5">
        <f>250</f>
        <v>250</v>
      </c>
      <c r="C39" s="4"/>
      <c r="D39" s="4"/>
      <c r="E39" s="4"/>
      <c r="F39" s="5">
        <f>2000</f>
        <v>2000</v>
      </c>
      <c r="G39" s="4"/>
      <c r="H39" s="4"/>
      <c r="I39" s="5">
        <f t="shared" si="8"/>
        <v>2000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5">
        <f t="shared" si="9"/>
        <v>0</v>
      </c>
      <c r="U39" s="4"/>
      <c r="V39" s="5">
        <f>29.97</f>
        <v>29.97</v>
      </c>
      <c r="W39" s="4"/>
      <c r="X39" s="5">
        <f t="shared" si="10"/>
        <v>29.97</v>
      </c>
      <c r="Y39" s="4"/>
      <c r="Z39" s="4"/>
      <c r="AA39" s="5">
        <f t="shared" si="11"/>
        <v>0</v>
      </c>
      <c r="AB39" s="4"/>
      <c r="AC39" s="5">
        <f>14.89</f>
        <v>14.89</v>
      </c>
      <c r="AD39" s="4"/>
      <c r="AE39" s="4"/>
      <c r="AF39" s="4"/>
      <c r="AG39" s="4"/>
      <c r="AH39" s="4"/>
      <c r="AI39" s="5">
        <f t="shared" si="12"/>
        <v>14.89</v>
      </c>
      <c r="AJ39" s="4"/>
      <c r="AK39" s="5">
        <f>338.46</f>
        <v>338.46</v>
      </c>
      <c r="AL39" s="5">
        <f t="shared" si="13"/>
        <v>338.46</v>
      </c>
      <c r="AM39" s="4"/>
      <c r="AN39" s="4"/>
      <c r="AO39" s="4"/>
      <c r="AP39" s="5">
        <f>118.73</f>
        <v>118.73</v>
      </c>
      <c r="AQ39" s="4"/>
      <c r="AR39" s="4"/>
      <c r="AS39" s="4"/>
      <c r="AT39" s="4"/>
      <c r="AU39" s="5">
        <f>117.98</f>
        <v>117.98</v>
      </c>
      <c r="AV39" s="5">
        <f t="shared" si="14"/>
        <v>236.71</v>
      </c>
      <c r="AW39" s="4"/>
      <c r="AX39" s="5">
        <f t="shared" si="15"/>
        <v>2870.0299999999997</v>
      </c>
    </row>
    <row r="40" spans="1:50" x14ac:dyDescent="0.25">
      <c r="A40" s="3" t="s">
        <v>82</v>
      </c>
      <c r="B40" s="6">
        <f t="shared" ref="B40:H40" si="20">(((((((B32)+(B33))+(B34))+(B35))+(B36))+(B37))+(B38))+(B39)</f>
        <v>3343.92</v>
      </c>
      <c r="C40" s="6">
        <f t="shared" si="20"/>
        <v>52.83</v>
      </c>
      <c r="D40" s="6">
        <f t="shared" si="20"/>
        <v>0</v>
      </c>
      <c r="E40" s="6">
        <f t="shared" si="20"/>
        <v>1124.44</v>
      </c>
      <c r="F40" s="6">
        <f t="shared" si="20"/>
        <v>3366.34</v>
      </c>
      <c r="G40" s="6">
        <f t="shared" si="20"/>
        <v>4200</v>
      </c>
      <c r="H40" s="6">
        <f t="shared" si="20"/>
        <v>933.02</v>
      </c>
      <c r="I40" s="6">
        <f t="shared" si="8"/>
        <v>9623.8000000000011</v>
      </c>
      <c r="J40" s="6">
        <f t="shared" ref="J40:S40" si="21">(((((((J32)+(J33))+(J34))+(J35))+(J36))+(J37))+(J38))+(J39)</f>
        <v>0</v>
      </c>
      <c r="K40" s="6">
        <f t="shared" si="21"/>
        <v>662.42</v>
      </c>
      <c r="L40" s="6">
        <f t="shared" si="21"/>
        <v>0</v>
      </c>
      <c r="M40" s="6">
        <f t="shared" si="21"/>
        <v>0</v>
      </c>
      <c r="N40" s="6">
        <f t="shared" si="21"/>
        <v>0</v>
      </c>
      <c r="O40" s="6">
        <f t="shared" si="21"/>
        <v>0</v>
      </c>
      <c r="P40" s="6">
        <f t="shared" si="21"/>
        <v>24.58</v>
      </c>
      <c r="Q40" s="6">
        <f t="shared" si="21"/>
        <v>0</v>
      </c>
      <c r="R40" s="6">
        <f t="shared" si="21"/>
        <v>0</v>
      </c>
      <c r="S40" s="6">
        <f t="shared" si="21"/>
        <v>0</v>
      </c>
      <c r="T40" s="6">
        <f t="shared" si="9"/>
        <v>687</v>
      </c>
      <c r="U40" s="6">
        <f>(((((((U32)+(U33))+(U34))+(U35))+(U36))+(U37))+(U38))+(U39)</f>
        <v>0</v>
      </c>
      <c r="V40" s="6">
        <f>(((((((V32)+(V33))+(V34))+(V35))+(V36))+(V37))+(V38))+(V39)</f>
        <v>29.97</v>
      </c>
      <c r="W40" s="6">
        <f>(((((((W32)+(W33))+(W34))+(W35))+(W36))+(W37))+(W38))+(W39)</f>
        <v>0</v>
      </c>
      <c r="X40" s="6">
        <f t="shared" si="10"/>
        <v>29.97</v>
      </c>
      <c r="Y40" s="6">
        <f>(((((((Y32)+(Y33))+(Y34))+(Y35))+(Y36))+(Y37))+(Y38))+(Y39)</f>
        <v>0</v>
      </c>
      <c r="Z40" s="6">
        <f>(((((((Z32)+(Z33))+(Z34))+(Z35))+(Z36))+(Z37))+(Z38))+(Z39)</f>
        <v>1770.83</v>
      </c>
      <c r="AA40" s="6">
        <f t="shared" si="11"/>
        <v>1770.83</v>
      </c>
      <c r="AB40" s="6">
        <f t="shared" ref="AB40:AH40" si="22">(((((((AB32)+(AB33))+(AB34))+(AB35))+(AB36))+(AB37))+(AB38))+(AB39)</f>
        <v>6828.2300000000005</v>
      </c>
      <c r="AC40" s="6">
        <f t="shared" si="22"/>
        <v>16301.38</v>
      </c>
      <c r="AD40" s="6">
        <f t="shared" si="22"/>
        <v>14884.349999999999</v>
      </c>
      <c r="AE40" s="6">
        <f t="shared" si="22"/>
        <v>3135.88</v>
      </c>
      <c r="AF40" s="6">
        <f t="shared" si="22"/>
        <v>4667.6099999999997</v>
      </c>
      <c r="AG40" s="6">
        <f t="shared" si="22"/>
        <v>19501.170000000002</v>
      </c>
      <c r="AH40" s="6">
        <f t="shared" si="22"/>
        <v>4151.6000000000004</v>
      </c>
      <c r="AI40" s="6">
        <f t="shared" si="12"/>
        <v>69470.22</v>
      </c>
      <c r="AJ40" s="6">
        <f>(((((((AJ32)+(AJ33))+(AJ34))+(AJ35))+(AJ36))+(AJ37))+(AJ38))+(AJ39)</f>
        <v>0</v>
      </c>
      <c r="AK40" s="6">
        <f>(((((((AK32)+(AK33))+(AK34))+(AK35))+(AK36))+(AK37))+(AK38))+(AK39)</f>
        <v>2552.9500000000003</v>
      </c>
      <c r="AL40" s="6">
        <f t="shared" si="13"/>
        <v>2552.9500000000003</v>
      </c>
      <c r="AM40" s="6">
        <f t="shared" ref="AM40:AU40" si="23">(((((((AM32)+(AM33))+(AM34))+(AM35))+(AM36))+(AM37))+(AM38))+(AM39)</f>
        <v>0</v>
      </c>
      <c r="AN40" s="6">
        <f t="shared" si="23"/>
        <v>50</v>
      </c>
      <c r="AO40" s="6">
        <f t="shared" si="23"/>
        <v>0</v>
      </c>
      <c r="AP40" s="6">
        <f t="shared" si="23"/>
        <v>5648.869999999999</v>
      </c>
      <c r="AQ40" s="6">
        <f t="shared" si="23"/>
        <v>1870.63</v>
      </c>
      <c r="AR40" s="6">
        <f t="shared" si="23"/>
        <v>507.33</v>
      </c>
      <c r="AS40" s="6">
        <f t="shared" si="23"/>
        <v>0</v>
      </c>
      <c r="AT40" s="6">
        <f t="shared" si="23"/>
        <v>0</v>
      </c>
      <c r="AU40" s="6">
        <f t="shared" si="23"/>
        <v>452.11</v>
      </c>
      <c r="AV40" s="6">
        <f t="shared" si="14"/>
        <v>8478.9399999999987</v>
      </c>
      <c r="AW40" s="6">
        <f>(((((((AW32)+(AW33))+(AW34))+(AW35))+(AW36))+(AW37))+(AW38))+(AW39)</f>
        <v>200.32999999999998</v>
      </c>
      <c r="AX40" s="6">
        <f t="shared" si="15"/>
        <v>96260.790000000008</v>
      </c>
    </row>
    <row r="41" spans="1:50" x14ac:dyDescent="0.25">
      <c r="A41" s="3" t="s">
        <v>83</v>
      </c>
      <c r="B41" s="5">
        <f>560.8</f>
        <v>560.79999999999995</v>
      </c>
      <c r="C41" s="4"/>
      <c r="D41" s="4"/>
      <c r="E41" s="4"/>
      <c r="F41" s="4"/>
      <c r="G41" s="4"/>
      <c r="H41" s="4"/>
      <c r="I41" s="5">
        <f t="shared" si="8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5">
        <f t="shared" si="9"/>
        <v>0</v>
      </c>
      <c r="U41" s="5">
        <f>4260</f>
        <v>4260</v>
      </c>
      <c r="V41" s="4"/>
      <c r="W41" s="4"/>
      <c r="X41" s="5">
        <f t="shared" si="10"/>
        <v>0</v>
      </c>
      <c r="Y41" s="4"/>
      <c r="Z41" s="4"/>
      <c r="AA41" s="5">
        <f t="shared" si="11"/>
        <v>0</v>
      </c>
      <c r="AB41" s="4"/>
      <c r="AC41" s="4"/>
      <c r="AD41" s="4"/>
      <c r="AE41" s="4"/>
      <c r="AF41" s="4"/>
      <c r="AG41" s="4"/>
      <c r="AH41" s="4"/>
      <c r="AI41" s="5">
        <f t="shared" si="12"/>
        <v>0</v>
      </c>
      <c r="AJ41" s="4"/>
      <c r="AK41" s="4"/>
      <c r="AL41" s="5">
        <f t="shared" si="13"/>
        <v>0</v>
      </c>
      <c r="AM41" s="4"/>
      <c r="AN41" s="4"/>
      <c r="AO41" s="4"/>
      <c r="AP41" s="4"/>
      <c r="AQ41" s="4"/>
      <c r="AR41" s="4"/>
      <c r="AS41" s="4"/>
      <c r="AT41" s="4"/>
      <c r="AU41" s="4"/>
      <c r="AV41" s="5">
        <f t="shared" si="14"/>
        <v>0</v>
      </c>
      <c r="AW41" s="4"/>
      <c r="AX41" s="5">
        <f t="shared" si="15"/>
        <v>4820.8</v>
      </c>
    </row>
    <row r="42" spans="1:50" x14ac:dyDescent="0.25">
      <c r="A42" s="3" t="s">
        <v>84</v>
      </c>
      <c r="B42" s="5">
        <f>50.86</f>
        <v>50.86</v>
      </c>
      <c r="C42" s="4"/>
      <c r="D42" s="4"/>
      <c r="E42" s="4"/>
      <c r="F42" s="4"/>
      <c r="G42" s="4"/>
      <c r="H42" s="4"/>
      <c r="I42" s="5">
        <f t="shared" si="8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5">
        <f t="shared" si="9"/>
        <v>0</v>
      </c>
      <c r="U42" s="4"/>
      <c r="V42" s="4"/>
      <c r="W42" s="4"/>
      <c r="X42" s="5">
        <f t="shared" si="10"/>
        <v>0</v>
      </c>
      <c r="Y42" s="4"/>
      <c r="Z42" s="4"/>
      <c r="AA42" s="5">
        <f t="shared" si="11"/>
        <v>0</v>
      </c>
      <c r="AB42" s="4"/>
      <c r="AC42" s="4"/>
      <c r="AD42" s="4"/>
      <c r="AE42" s="4"/>
      <c r="AF42" s="4"/>
      <c r="AG42" s="4"/>
      <c r="AH42" s="4"/>
      <c r="AI42" s="5">
        <f t="shared" si="12"/>
        <v>0</v>
      </c>
      <c r="AJ42" s="4"/>
      <c r="AK42" s="4"/>
      <c r="AL42" s="5">
        <f t="shared" si="13"/>
        <v>0</v>
      </c>
      <c r="AM42" s="4"/>
      <c r="AN42" s="4"/>
      <c r="AO42" s="4"/>
      <c r="AP42" s="4"/>
      <c r="AQ42" s="4"/>
      <c r="AR42" s="4"/>
      <c r="AS42" s="4"/>
      <c r="AT42" s="4"/>
      <c r="AU42" s="4"/>
      <c r="AV42" s="5">
        <f t="shared" si="14"/>
        <v>0</v>
      </c>
      <c r="AW42" s="4"/>
      <c r="AX42" s="5">
        <f t="shared" si="15"/>
        <v>50.86</v>
      </c>
    </row>
    <row r="43" spans="1:50" x14ac:dyDescent="0.25">
      <c r="A43" s="3" t="s">
        <v>85</v>
      </c>
      <c r="B43" s="6">
        <f t="shared" ref="B43:H43" si="24">(((((((((((((((((((B12)+(B13))+(B14))+(B15))+(B19))+(B20))+(B21))+(B22))+(B23))+(B24))+(B25))+(B26))+(B27))+(B28))+(B29))+(B30))+(B31))+(B40))+(B41))+(B42)</f>
        <v>131329.50999999998</v>
      </c>
      <c r="C43" s="6">
        <f t="shared" si="24"/>
        <v>52.83</v>
      </c>
      <c r="D43" s="6">
        <f t="shared" si="24"/>
        <v>0</v>
      </c>
      <c r="E43" s="6">
        <f t="shared" si="24"/>
        <v>23638.19</v>
      </c>
      <c r="F43" s="6">
        <f t="shared" si="24"/>
        <v>3806.34</v>
      </c>
      <c r="G43" s="6">
        <f t="shared" si="24"/>
        <v>5720</v>
      </c>
      <c r="H43" s="6">
        <f t="shared" si="24"/>
        <v>2914.24</v>
      </c>
      <c r="I43" s="6">
        <f t="shared" si="8"/>
        <v>36078.769999999997</v>
      </c>
      <c r="J43" s="6">
        <f t="shared" ref="J43:S43" si="25">(((((((((((((((((((J12)+(J13))+(J14))+(J15))+(J19))+(J20))+(J21))+(J22))+(J23))+(J24))+(J25))+(J26))+(J27))+(J28))+(J29))+(J30))+(J31))+(J40))+(J41))+(J42)</f>
        <v>39488.93</v>
      </c>
      <c r="K43" s="6">
        <f t="shared" si="25"/>
        <v>5982.42</v>
      </c>
      <c r="L43" s="6">
        <f t="shared" si="25"/>
        <v>7839.25</v>
      </c>
      <c r="M43" s="6">
        <f t="shared" si="25"/>
        <v>5756.93</v>
      </c>
      <c r="N43" s="6">
        <f t="shared" si="25"/>
        <v>9406.5300000000007</v>
      </c>
      <c r="O43" s="6">
        <f t="shared" si="25"/>
        <v>11428.7</v>
      </c>
      <c r="P43" s="6">
        <f t="shared" si="25"/>
        <v>8518.39</v>
      </c>
      <c r="Q43" s="6">
        <f t="shared" si="25"/>
        <v>11500.29</v>
      </c>
      <c r="R43" s="6">
        <f t="shared" si="25"/>
        <v>7139.22</v>
      </c>
      <c r="S43" s="6">
        <f t="shared" si="25"/>
        <v>9347.32</v>
      </c>
      <c r="T43" s="6">
        <f t="shared" si="9"/>
        <v>116407.98000000001</v>
      </c>
      <c r="U43" s="6">
        <f>(((((((((((((((((((U12)+(U13))+(U14))+(U15))+(U19))+(U20))+(U21))+(U22))+(U23))+(U24))+(U25))+(U26))+(U27))+(U28))+(U29))+(U30))+(U31))+(U40))+(U41))+(U42)</f>
        <v>4864</v>
      </c>
      <c r="V43" s="6">
        <f>(((((((((((((((((((V12)+(V13))+(V14))+(V15))+(V19))+(V20))+(V21))+(V22))+(V23))+(V24))+(V25))+(V26))+(V27))+(V28))+(V29))+(V30))+(V31))+(V40))+(V41))+(V42)</f>
        <v>6199.04</v>
      </c>
      <c r="W43" s="6">
        <f>(((((((((((((((((((W12)+(W13))+(W14))+(W15))+(W19))+(W20))+(W21))+(W22))+(W23))+(W24))+(W25))+(W26))+(W27))+(W28))+(W29))+(W30))+(W31))+(W40))+(W41))+(W42)</f>
        <v>5137.24</v>
      </c>
      <c r="X43" s="6">
        <f t="shared" si="10"/>
        <v>11336.279999999999</v>
      </c>
      <c r="Y43" s="6">
        <f>(((((((((((((((((((Y12)+(Y13))+(Y14))+(Y15))+(Y19))+(Y20))+(Y21))+(Y22))+(Y23))+(Y24))+(Y25))+(Y26))+(Y27))+(Y28))+(Y29))+(Y30))+(Y31))+(Y40))+(Y41))+(Y42)</f>
        <v>0</v>
      </c>
      <c r="Z43" s="6">
        <f>(((((((((((((((((((Z12)+(Z13))+(Z14))+(Z15))+(Z19))+(Z20))+(Z21))+(Z22))+(Z23))+(Z24))+(Z25))+(Z26))+(Z27))+(Z28))+(Z29))+(Z30))+(Z31))+(Z40))+(Z41))+(Z42)</f>
        <v>6878.74</v>
      </c>
      <c r="AA43" s="6">
        <f t="shared" si="11"/>
        <v>6878.74</v>
      </c>
      <c r="AB43" s="6">
        <f t="shared" ref="AB43:AH43" si="26">(((((((((((((((((((AB12)+(AB13))+(AB14))+(AB15))+(AB19))+(AB20))+(AB21))+(AB22))+(AB23))+(AB24))+(AB25))+(AB26))+(AB27))+(AB28))+(AB29))+(AB30))+(AB31))+(AB40))+(AB41))+(AB42)</f>
        <v>12345.199999999999</v>
      </c>
      <c r="AC43" s="6">
        <f t="shared" si="26"/>
        <v>49828.88</v>
      </c>
      <c r="AD43" s="6">
        <f t="shared" si="26"/>
        <v>16694.099999999999</v>
      </c>
      <c r="AE43" s="6">
        <f t="shared" si="26"/>
        <v>3737.63</v>
      </c>
      <c r="AF43" s="6">
        <f t="shared" si="26"/>
        <v>7317.61</v>
      </c>
      <c r="AG43" s="6">
        <f t="shared" si="26"/>
        <v>24333.280000000002</v>
      </c>
      <c r="AH43" s="6">
        <f t="shared" si="26"/>
        <v>4180.83</v>
      </c>
      <c r="AI43" s="6">
        <f t="shared" si="12"/>
        <v>118437.53</v>
      </c>
      <c r="AJ43" s="6">
        <f>(((((((((((((((((((AJ12)+(AJ13))+(AJ14))+(AJ15))+(AJ19))+(AJ20))+(AJ21))+(AJ22))+(AJ23))+(AJ24))+(AJ25))+(AJ26))+(AJ27))+(AJ28))+(AJ29))+(AJ30))+(AJ31))+(AJ40))+(AJ41))+(AJ42)</f>
        <v>16460.21</v>
      </c>
      <c r="AK43" s="6">
        <f>(((((((((((((((((((AK12)+(AK13))+(AK14))+(AK15))+(AK19))+(AK20))+(AK21))+(AK22))+(AK23))+(AK24))+(AK25))+(AK26))+(AK27))+(AK28))+(AK29))+(AK30))+(AK31))+(AK40))+(AK41))+(AK42)</f>
        <v>2672.3</v>
      </c>
      <c r="AL43" s="6">
        <f t="shared" si="13"/>
        <v>19132.509999999998</v>
      </c>
      <c r="AM43" s="6">
        <f t="shared" ref="AM43:AU43" si="27">(((((((((((((((((((AM12)+(AM13))+(AM14))+(AM15))+(AM19))+(AM20))+(AM21))+(AM22))+(AM23))+(AM24))+(AM25))+(AM26))+(AM27))+(AM28))+(AM29))+(AM30))+(AM31))+(AM40))+(AM41))+(AM42)</f>
        <v>1000</v>
      </c>
      <c r="AN43" s="6">
        <f t="shared" si="27"/>
        <v>22158.329999999998</v>
      </c>
      <c r="AO43" s="6">
        <f t="shared" si="27"/>
        <v>0</v>
      </c>
      <c r="AP43" s="6">
        <f t="shared" si="27"/>
        <v>9394.6999999999989</v>
      </c>
      <c r="AQ43" s="6">
        <f t="shared" si="27"/>
        <v>1870.63</v>
      </c>
      <c r="AR43" s="6">
        <f t="shared" si="27"/>
        <v>6251.4100000000008</v>
      </c>
      <c r="AS43" s="6">
        <f t="shared" si="27"/>
        <v>170.82</v>
      </c>
      <c r="AT43" s="6">
        <f t="shared" si="27"/>
        <v>397.81000000000006</v>
      </c>
      <c r="AU43" s="6">
        <f t="shared" si="27"/>
        <v>27012.170000000002</v>
      </c>
      <c r="AV43" s="6">
        <f t="shared" si="14"/>
        <v>45097.54</v>
      </c>
      <c r="AW43" s="6">
        <f>(((((((((((((((((((AW12)+(AW13))+(AW14))+(AW15))+(AW19))+(AW20))+(AW21))+(AW22))+(AW23))+(AW24))+(AW25))+(AW26))+(AW27))+(AW28))+(AW29))+(AW30))+(AW31))+(AW40))+(AW41))+(AW42)</f>
        <v>200.32999999999998</v>
      </c>
      <c r="AX43" s="6">
        <f t="shared" si="15"/>
        <v>512974.35000000003</v>
      </c>
    </row>
    <row r="44" spans="1:50" x14ac:dyDescent="0.25">
      <c r="A44" s="3" t="s">
        <v>86</v>
      </c>
      <c r="B44" s="6">
        <f t="shared" ref="B44:H44" si="28">(B10)-(B43)</f>
        <v>-131329.50999999998</v>
      </c>
      <c r="C44" s="6">
        <f t="shared" si="28"/>
        <v>-52.83</v>
      </c>
      <c r="D44" s="6">
        <f t="shared" si="28"/>
        <v>0</v>
      </c>
      <c r="E44" s="6">
        <f t="shared" si="28"/>
        <v>-23592.92</v>
      </c>
      <c r="F44" s="6">
        <f t="shared" si="28"/>
        <v>-3806.34</v>
      </c>
      <c r="G44" s="6">
        <f t="shared" si="28"/>
        <v>-5720</v>
      </c>
      <c r="H44" s="6">
        <f t="shared" si="28"/>
        <v>41996.639999999999</v>
      </c>
      <c r="I44" s="6">
        <f t="shared" si="8"/>
        <v>8877.3800000000047</v>
      </c>
      <c r="J44" s="6">
        <f t="shared" ref="J44:S44" si="29">(J10)-(J43)</f>
        <v>277158.07</v>
      </c>
      <c r="K44" s="6">
        <f t="shared" si="29"/>
        <v>-5592.42</v>
      </c>
      <c r="L44" s="6">
        <f t="shared" si="29"/>
        <v>-7839.25</v>
      </c>
      <c r="M44" s="6">
        <f t="shared" si="29"/>
        <v>-5756.93</v>
      </c>
      <c r="N44" s="6">
        <f t="shared" si="29"/>
        <v>-9406.5300000000007</v>
      </c>
      <c r="O44" s="6">
        <f t="shared" si="29"/>
        <v>-11428.7</v>
      </c>
      <c r="P44" s="6">
        <f t="shared" si="29"/>
        <v>-8518.39</v>
      </c>
      <c r="Q44" s="6">
        <f t="shared" si="29"/>
        <v>-11500.29</v>
      </c>
      <c r="R44" s="6">
        <f t="shared" si="29"/>
        <v>-7139.22</v>
      </c>
      <c r="S44" s="6">
        <f t="shared" si="29"/>
        <v>-9347.32</v>
      </c>
      <c r="T44" s="6">
        <f t="shared" si="9"/>
        <v>200629.02000000002</v>
      </c>
      <c r="U44" s="6">
        <f>(U10)-(U43)</f>
        <v>-4864</v>
      </c>
      <c r="V44" s="6">
        <f>(V10)-(V43)</f>
        <v>2700.7300000000005</v>
      </c>
      <c r="W44" s="6">
        <f>(W10)-(W43)</f>
        <v>142.76000000000022</v>
      </c>
      <c r="X44" s="6">
        <f t="shared" si="10"/>
        <v>2843.4900000000007</v>
      </c>
      <c r="Y44" s="6">
        <f>(Y10)-(Y43)</f>
        <v>0</v>
      </c>
      <c r="Z44" s="6">
        <f>(Z10)-(Z43)</f>
        <v>-5228.74</v>
      </c>
      <c r="AA44" s="6">
        <f t="shared" si="11"/>
        <v>-5228.74</v>
      </c>
      <c r="AB44" s="6">
        <f t="shared" ref="AB44:AH44" si="30">(AB10)-(AB43)</f>
        <v>-12345.199999999999</v>
      </c>
      <c r="AC44" s="6">
        <f t="shared" si="30"/>
        <v>-49828.88</v>
      </c>
      <c r="AD44" s="6">
        <f t="shared" si="30"/>
        <v>-16004.099999999999</v>
      </c>
      <c r="AE44" s="6">
        <f t="shared" si="30"/>
        <v>-3737.63</v>
      </c>
      <c r="AF44" s="6">
        <f t="shared" si="30"/>
        <v>-7317.61</v>
      </c>
      <c r="AG44" s="6">
        <f t="shared" si="30"/>
        <v>-24333.280000000002</v>
      </c>
      <c r="AH44" s="6">
        <f t="shared" si="30"/>
        <v>-4180.83</v>
      </c>
      <c r="AI44" s="6">
        <f t="shared" si="12"/>
        <v>-117747.53</v>
      </c>
      <c r="AJ44" s="6">
        <f>(AJ10)-(AJ43)</f>
        <v>-16460.21</v>
      </c>
      <c r="AK44" s="6">
        <f>(AK10)-(AK43)</f>
        <v>-2672.3</v>
      </c>
      <c r="AL44" s="6">
        <f t="shared" si="13"/>
        <v>-19132.509999999998</v>
      </c>
      <c r="AM44" s="6">
        <f t="shared" ref="AM44:AU44" si="31">(AM10)-(AM43)</f>
        <v>-1000</v>
      </c>
      <c r="AN44" s="6">
        <f t="shared" si="31"/>
        <v>60761.67</v>
      </c>
      <c r="AO44" s="6">
        <f t="shared" si="31"/>
        <v>5900</v>
      </c>
      <c r="AP44" s="6">
        <f t="shared" si="31"/>
        <v>-9328.4499999999989</v>
      </c>
      <c r="AQ44" s="6">
        <f t="shared" si="31"/>
        <v>-1870.63</v>
      </c>
      <c r="AR44" s="6">
        <f t="shared" si="31"/>
        <v>-6251.4100000000008</v>
      </c>
      <c r="AS44" s="6">
        <f t="shared" si="31"/>
        <v>-170.82</v>
      </c>
      <c r="AT44" s="6">
        <f t="shared" si="31"/>
        <v>-397.81000000000006</v>
      </c>
      <c r="AU44" s="6">
        <f t="shared" si="31"/>
        <v>23147.829999999998</v>
      </c>
      <c r="AV44" s="6">
        <f t="shared" si="14"/>
        <v>11028.71</v>
      </c>
      <c r="AW44" s="6">
        <f>(AW10)-(AW43)</f>
        <v>-200.32999999999998</v>
      </c>
      <c r="AX44" s="6">
        <f t="shared" si="15"/>
        <v>4584.8200000000597</v>
      </c>
    </row>
    <row r="45" spans="1:50" x14ac:dyDescent="0.25">
      <c r="A45" s="3" t="s">
        <v>87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5">
      <c r="A46" s="3" t="s">
        <v>88</v>
      </c>
      <c r="B46" s="5">
        <f>11238.55</f>
        <v>11238.55</v>
      </c>
      <c r="C46" s="4"/>
      <c r="D46" s="4"/>
      <c r="E46" s="4"/>
      <c r="F46" s="4"/>
      <c r="G46" s="4"/>
      <c r="H46" s="4"/>
      <c r="I46" s="5">
        <f>((((D46)+(E46))+(F46))+(G46))+(H46)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5">
        <f>(((((((((J46)+(K46))+(L46))+(M46))+(N46))+(O46))+(P46))+(Q46))+(R46))+(S46)</f>
        <v>0</v>
      </c>
      <c r="U46" s="4"/>
      <c r="V46" s="4"/>
      <c r="W46" s="4"/>
      <c r="X46" s="5">
        <f>(V46)+(W46)</f>
        <v>0</v>
      </c>
      <c r="Y46" s="4"/>
      <c r="Z46" s="4"/>
      <c r="AA46" s="5">
        <f>(Y46)+(Z46)</f>
        <v>0</v>
      </c>
      <c r="AB46" s="4"/>
      <c r="AC46" s="4"/>
      <c r="AD46" s="4"/>
      <c r="AE46" s="4"/>
      <c r="AF46" s="4"/>
      <c r="AG46" s="4"/>
      <c r="AH46" s="4"/>
      <c r="AI46" s="5">
        <f>((((((AB46)+(AC46))+(AD46))+(AE46))+(AF46))+(AG46))+(AH46)</f>
        <v>0</v>
      </c>
      <c r="AJ46" s="4"/>
      <c r="AK46" s="4"/>
      <c r="AL46" s="5">
        <f>(AJ46)+(AK46)</f>
        <v>0</v>
      </c>
      <c r="AM46" s="4"/>
      <c r="AN46" s="4"/>
      <c r="AO46" s="4"/>
      <c r="AP46" s="4"/>
      <c r="AQ46" s="4"/>
      <c r="AR46" s="4"/>
      <c r="AS46" s="4"/>
      <c r="AT46" s="4"/>
      <c r="AU46" s="4"/>
      <c r="AV46" s="5">
        <f>((((((AO46)+(AP46))+(AQ46))+(AR46))+(AS46))+(AT46))+(AU46)</f>
        <v>0</v>
      </c>
      <c r="AW46" s="4"/>
      <c r="AX46" s="5">
        <f>((((((((((((B46)+(C46))+(I46))+(T46))+(U46))+(X46))+(AA46))+(AI46))+(AL46))+(AM46))+(AN46))+(AV46))+(AW46)</f>
        <v>11238.55</v>
      </c>
    </row>
    <row r="47" spans="1:50" x14ac:dyDescent="0.25">
      <c r="A47" s="3" t="s">
        <v>89</v>
      </c>
      <c r="B47" s="5">
        <f>274.89</f>
        <v>274.89</v>
      </c>
      <c r="C47" s="4"/>
      <c r="D47" s="4"/>
      <c r="E47" s="4"/>
      <c r="F47" s="4"/>
      <c r="G47" s="4"/>
      <c r="H47" s="4"/>
      <c r="I47" s="5">
        <f>((((D47)+(E47))+(F47))+(G47))+(H47)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5">
        <f>(((((((((J47)+(K47))+(L47))+(M47))+(N47))+(O47))+(P47))+(Q47))+(R47))+(S47)</f>
        <v>0</v>
      </c>
      <c r="U47" s="4"/>
      <c r="V47" s="4"/>
      <c r="W47" s="4"/>
      <c r="X47" s="5">
        <f>(V47)+(W47)</f>
        <v>0</v>
      </c>
      <c r="Y47" s="4"/>
      <c r="Z47" s="4"/>
      <c r="AA47" s="5">
        <f>(Y47)+(Z47)</f>
        <v>0</v>
      </c>
      <c r="AB47" s="4"/>
      <c r="AC47" s="4"/>
      <c r="AD47" s="4"/>
      <c r="AE47" s="4"/>
      <c r="AF47" s="4"/>
      <c r="AG47" s="4"/>
      <c r="AH47" s="4"/>
      <c r="AI47" s="5">
        <f>((((((AB47)+(AC47))+(AD47))+(AE47))+(AF47))+(AG47))+(AH47)</f>
        <v>0</v>
      </c>
      <c r="AJ47" s="4"/>
      <c r="AK47" s="4"/>
      <c r="AL47" s="5">
        <f>(AJ47)+(AK47)</f>
        <v>0</v>
      </c>
      <c r="AM47" s="4"/>
      <c r="AN47" s="4"/>
      <c r="AO47" s="4"/>
      <c r="AP47" s="4"/>
      <c r="AQ47" s="4"/>
      <c r="AR47" s="4"/>
      <c r="AS47" s="4"/>
      <c r="AT47" s="4"/>
      <c r="AU47" s="4"/>
      <c r="AV47" s="5">
        <f>((((((AO47)+(AP47))+(AQ47))+(AR47))+(AS47))+(AT47))+(AU47)</f>
        <v>0</v>
      </c>
      <c r="AW47" s="4"/>
      <c r="AX47" s="5">
        <f>((((((((((((B47)+(C47))+(I47))+(T47))+(U47))+(X47))+(AA47))+(AI47))+(AL47))+(AM47))+(AN47))+(AV47))+(AW47)</f>
        <v>274.89</v>
      </c>
    </row>
    <row r="48" spans="1:50" x14ac:dyDescent="0.25">
      <c r="A48" s="3" t="s">
        <v>90</v>
      </c>
      <c r="B48" s="5">
        <f>26721.1</f>
        <v>26721.1</v>
      </c>
      <c r="C48" s="4"/>
      <c r="D48" s="4"/>
      <c r="E48" s="4"/>
      <c r="F48" s="4"/>
      <c r="G48" s="4"/>
      <c r="H48" s="4"/>
      <c r="I48" s="5">
        <f>((((D48)+(E48))+(F48))+(G48))+(H48)</f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5">
        <f>(((((((((J48)+(K48))+(L48))+(M48))+(N48))+(O48))+(P48))+(Q48))+(R48))+(S48)</f>
        <v>0</v>
      </c>
      <c r="U48" s="4"/>
      <c r="V48" s="4"/>
      <c r="W48" s="4"/>
      <c r="X48" s="5">
        <f>(V48)+(W48)</f>
        <v>0</v>
      </c>
      <c r="Y48" s="4"/>
      <c r="Z48" s="4"/>
      <c r="AA48" s="5">
        <f>(Y48)+(Z48)</f>
        <v>0</v>
      </c>
      <c r="AB48" s="4"/>
      <c r="AC48" s="4"/>
      <c r="AD48" s="4"/>
      <c r="AE48" s="4"/>
      <c r="AF48" s="4"/>
      <c r="AG48" s="4"/>
      <c r="AH48" s="4"/>
      <c r="AI48" s="5">
        <f>((((((AB48)+(AC48))+(AD48))+(AE48))+(AF48))+(AG48))+(AH48)</f>
        <v>0</v>
      </c>
      <c r="AJ48" s="4"/>
      <c r="AK48" s="4"/>
      <c r="AL48" s="5">
        <f>(AJ48)+(AK48)</f>
        <v>0</v>
      </c>
      <c r="AM48" s="4"/>
      <c r="AN48" s="4"/>
      <c r="AO48" s="4"/>
      <c r="AP48" s="4"/>
      <c r="AQ48" s="4"/>
      <c r="AR48" s="4"/>
      <c r="AS48" s="4"/>
      <c r="AT48" s="4"/>
      <c r="AU48" s="4"/>
      <c r="AV48" s="5">
        <f>((((((AO48)+(AP48))+(AQ48))+(AR48))+(AS48))+(AT48))+(AU48)</f>
        <v>0</v>
      </c>
      <c r="AW48" s="4"/>
      <c r="AX48" s="5">
        <f>((((((((((((B48)+(C48))+(I48))+(T48))+(U48))+(X48))+(AA48))+(AI48))+(AL48))+(AM48))+(AN48))+(AV48))+(AW48)</f>
        <v>26721.1</v>
      </c>
    </row>
    <row r="49" spans="1:50" x14ac:dyDescent="0.25">
      <c r="A49" s="3" t="s">
        <v>91</v>
      </c>
      <c r="B49" s="5">
        <f>-21445.59</f>
        <v>-21445.59</v>
      </c>
      <c r="C49" s="4"/>
      <c r="D49" s="4"/>
      <c r="E49" s="4"/>
      <c r="F49" s="4"/>
      <c r="G49" s="4"/>
      <c r="H49" s="4"/>
      <c r="I49" s="5">
        <f>((((D49)+(E49))+(F49))+(G49))+(H49)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5">
        <f>(((((((((J49)+(K49))+(L49))+(M49))+(N49))+(O49))+(P49))+(Q49))+(R49))+(S49)</f>
        <v>0</v>
      </c>
      <c r="U49" s="4"/>
      <c r="V49" s="4"/>
      <c r="W49" s="4"/>
      <c r="X49" s="5">
        <f>(V49)+(W49)</f>
        <v>0</v>
      </c>
      <c r="Y49" s="4"/>
      <c r="Z49" s="4"/>
      <c r="AA49" s="5">
        <f>(Y49)+(Z49)</f>
        <v>0</v>
      </c>
      <c r="AB49" s="4"/>
      <c r="AC49" s="4"/>
      <c r="AD49" s="4"/>
      <c r="AE49" s="4"/>
      <c r="AF49" s="4"/>
      <c r="AG49" s="4"/>
      <c r="AH49" s="4"/>
      <c r="AI49" s="5">
        <f>((((((AB49)+(AC49))+(AD49))+(AE49))+(AF49))+(AG49))+(AH49)</f>
        <v>0</v>
      </c>
      <c r="AJ49" s="4"/>
      <c r="AK49" s="4"/>
      <c r="AL49" s="5">
        <f>(AJ49)+(AK49)</f>
        <v>0</v>
      </c>
      <c r="AM49" s="4"/>
      <c r="AN49" s="4"/>
      <c r="AO49" s="4"/>
      <c r="AP49" s="4"/>
      <c r="AQ49" s="4"/>
      <c r="AR49" s="4"/>
      <c r="AS49" s="4"/>
      <c r="AT49" s="4"/>
      <c r="AU49" s="4"/>
      <c r="AV49" s="5">
        <f>((((((AO49)+(AP49))+(AQ49))+(AR49))+(AS49))+(AT49))+(AU49)</f>
        <v>0</v>
      </c>
      <c r="AW49" s="4"/>
      <c r="AX49" s="5">
        <f>((((((((((((B49)+(C49))+(I49))+(T49))+(U49))+(X49))+(AA49))+(AI49))+(AL49))+(AM49))+(AN49))+(AV49))+(AW49)</f>
        <v>-21445.59</v>
      </c>
    </row>
    <row r="50" spans="1:50" x14ac:dyDescent="0.25">
      <c r="A50" s="3" t="s">
        <v>92</v>
      </c>
      <c r="B50" s="6">
        <f t="shared" ref="B50:H50" si="32">(((B46)+(B47))+(B48))+(B49)</f>
        <v>16788.949999999993</v>
      </c>
      <c r="C50" s="6">
        <f t="shared" si="32"/>
        <v>0</v>
      </c>
      <c r="D50" s="6">
        <f t="shared" si="32"/>
        <v>0</v>
      </c>
      <c r="E50" s="6">
        <f t="shared" si="32"/>
        <v>0</v>
      </c>
      <c r="F50" s="6">
        <f t="shared" si="32"/>
        <v>0</v>
      </c>
      <c r="G50" s="6">
        <f t="shared" si="32"/>
        <v>0</v>
      </c>
      <c r="H50" s="6">
        <f t="shared" si="32"/>
        <v>0</v>
      </c>
      <c r="I50" s="6">
        <f>((((D50)+(E50))+(F50))+(G50))+(H50)</f>
        <v>0</v>
      </c>
      <c r="J50" s="6">
        <f t="shared" ref="J50:S50" si="33">(((J46)+(J47))+(J48))+(J49)</f>
        <v>0</v>
      </c>
      <c r="K50" s="6">
        <f t="shared" si="33"/>
        <v>0</v>
      </c>
      <c r="L50" s="6">
        <f t="shared" si="33"/>
        <v>0</v>
      </c>
      <c r="M50" s="6">
        <f t="shared" si="33"/>
        <v>0</v>
      </c>
      <c r="N50" s="6">
        <f t="shared" si="33"/>
        <v>0</v>
      </c>
      <c r="O50" s="6">
        <f t="shared" si="33"/>
        <v>0</v>
      </c>
      <c r="P50" s="6">
        <f t="shared" si="33"/>
        <v>0</v>
      </c>
      <c r="Q50" s="6">
        <f t="shared" si="33"/>
        <v>0</v>
      </c>
      <c r="R50" s="6">
        <f t="shared" si="33"/>
        <v>0</v>
      </c>
      <c r="S50" s="6">
        <f t="shared" si="33"/>
        <v>0</v>
      </c>
      <c r="T50" s="6">
        <f>(((((((((J50)+(K50))+(L50))+(M50))+(N50))+(O50))+(P50))+(Q50))+(R50))+(S50)</f>
        <v>0</v>
      </c>
      <c r="U50" s="6">
        <f>(((U46)+(U47))+(U48))+(U49)</f>
        <v>0</v>
      </c>
      <c r="V50" s="6">
        <f>(((V46)+(V47))+(V48))+(V49)</f>
        <v>0</v>
      </c>
      <c r="W50" s="6">
        <f>(((W46)+(W47))+(W48))+(W49)</f>
        <v>0</v>
      </c>
      <c r="X50" s="6">
        <f>(V50)+(W50)</f>
        <v>0</v>
      </c>
      <c r="Y50" s="6">
        <f>(((Y46)+(Y47))+(Y48))+(Y49)</f>
        <v>0</v>
      </c>
      <c r="Z50" s="6">
        <f>(((Z46)+(Z47))+(Z48))+(Z49)</f>
        <v>0</v>
      </c>
      <c r="AA50" s="6">
        <f>(Y50)+(Z50)</f>
        <v>0</v>
      </c>
      <c r="AB50" s="6">
        <f t="shared" ref="AB50:AH50" si="34">(((AB46)+(AB47))+(AB48))+(AB49)</f>
        <v>0</v>
      </c>
      <c r="AC50" s="6">
        <f t="shared" si="34"/>
        <v>0</v>
      </c>
      <c r="AD50" s="6">
        <f t="shared" si="34"/>
        <v>0</v>
      </c>
      <c r="AE50" s="6">
        <f t="shared" si="34"/>
        <v>0</v>
      </c>
      <c r="AF50" s="6">
        <f t="shared" si="34"/>
        <v>0</v>
      </c>
      <c r="AG50" s="6">
        <f t="shared" si="34"/>
        <v>0</v>
      </c>
      <c r="AH50" s="6">
        <f t="shared" si="34"/>
        <v>0</v>
      </c>
      <c r="AI50" s="6">
        <f>((((((AB50)+(AC50))+(AD50))+(AE50))+(AF50))+(AG50))+(AH50)</f>
        <v>0</v>
      </c>
      <c r="AJ50" s="6">
        <f>(((AJ46)+(AJ47))+(AJ48))+(AJ49)</f>
        <v>0</v>
      </c>
      <c r="AK50" s="6">
        <f>(((AK46)+(AK47))+(AK48))+(AK49)</f>
        <v>0</v>
      </c>
      <c r="AL50" s="6">
        <f>(AJ50)+(AK50)</f>
        <v>0</v>
      </c>
      <c r="AM50" s="6">
        <f t="shared" ref="AM50:AU50" si="35">(((AM46)+(AM47))+(AM48))+(AM49)</f>
        <v>0</v>
      </c>
      <c r="AN50" s="6">
        <f t="shared" si="35"/>
        <v>0</v>
      </c>
      <c r="AO50" s="6">
        <f t="shared" si="35"/>
        <v>0</v>
      </c>
      <c r="AP50" s="6">
        <f t="shared" si="35"/>
        <v>0</v>
      </c>
      <c r="AQ50" s="6">
        <f t="shared" si="35"/>
        <v>0</v>
      </c>
      <c r="AR50" s="6">
        <f t="shared" si="35"/>
        <v>0</v>
      </c>
      <c r="AS50" s="6">
        <f t="shared" si="35"/>
        <v>0</v>
      </c>
      <c r="AT50" s="6">
        <f t="shared" si="35"/>
        <v>0</v>
      </c>
      <c r="AU50" s="6">
        <f t="shared" si="35"/>
        <v>0</v>
      </c>
      <c r="AV50" s="6">
        <f>((((((AO50)+(AP50))+(AQ50))+(AR50))+(AS50))+(AT50))+(AU50)</f>
        <v>0</v>
      </c>
      <c r="AW50" s="6">
        <f>(((AW46)+(AW47))+(AW48))+(AW49)</f>
        <v>0</v>
      </c>
      <c r="AX50" s="6">
        <f>((((((((((((B50)+(C50))+(I50))+(T50))+(U50))+(X50))+(AA50))+(AI50))+(AL50))+(AM50))+(AN50))+(AV50))+(AW50)</f>
        <v>16788.949999999993</v>
      </c>
    </row>
    <row r="51" spans="1:50" x14ac:dyDescent="0.25">
      <c r="A51" s="3" t="s">
        <v>93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x14ac:dyDescent="0.25">
      <c r="A52" s="3" t="s">
        <v>94</v>
      </c>
      <c r="B52" s="5">
        <f>3411.7</f>
        <v>3411.7</v>
      </c>
      <c r="C52" s="4"/>
      <c r="D52" s="4"/>
      <c r="E52" s="4"/>
      <c r="F52" s="4"/>
      <c r="G52" s="4"/>
      <c r="H52" s="4"/>
      <c r="I52" s="5">
        <f>((((D52)+(E52))+(F52))+(G52))+(H52)</f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5">
        <f>(((((((((J52)+(K52))+(L52))+(M52))+(N52))+(O52))+(P52))+(Q52))+(R52))+(S52)</f>
        <v>0</v>
      </c>
      <c r="U52" s="4"/>
      <c r="V52" s="4"/>
      <c r="W52" s="4"/>
      <c r="X52" s="5">
        <f>(V52)+(W52)</f>
        <v>0</v>
      </c>
      <c r="Y52" s="4"/>
      <c r="Z52" s="4"/>
      <c r="AA52" s="5">
        <f>(Y52)+(Z52)</f>
        <v>0</v>
      </c>
      <c r="AB52" s="4"/>
      <c r="AC52" s="4"/>
      <c r="AD52" s="4"/>
      <c r="AE52" s="4"/>
      <c r="AF52" s="4"/>
      <c r="AG52" s="4"/>
      <c r="AH52" s="4"/>
      <c r="AI52" s="5">
        <f>((((((AB52)+(AC52))+(AD52))+(AE52))+(AF52))+(AG52))+(AH52)</f>
        <v>0</v>
      </c>
      <c r="AJ52" s="4"/>
      <c r="AK52" s="4"/>
      <c r="AL52" s="5">
        <f>(AJ52)+(AK52)</f>
        <v>0</v>
      </c>
      <c r="AM52" s="4"/>
      <c r="AN52" s="4"/>
      <c r="AO52" s="4"/>
      <c r="AP52" s="4"/>
      <c r="AQ52" s="4"/>
      <c r="AR52" s="4"/>
      <c r="AS52" s="4"/>
      <c r="AT52" s="4"/>
      <c r="AU52" s="4"/>
      <c r="AV52" s="5">
        <f>((((((AO52)+(AP52))+(AQ52))+(AR52))+(AS52))+(AT52))+(AU52)</f>
        <v>0</v>
      </c>
      <c r="AW52" s="4"/>
      <c r="AX52" s="5">
        <f>((((((((((((B52)+(C52))+(I52))+(T52))+(U52))+(X52))+(AA52))+(AI52))+(AL52))+(AM52))+(AN52))+(AV52))+(AW52)</f>
        <v>3411.7</v>
      </c>
    </row>
    <row r="53" spans="1:50" x14ac:dyDescent="0.25">
      <c r="A53" s="3" t="s">
        <v>95</v>
      </c>
      <c r="B53" s="5">
        <f>4856.61</f>
        <v>4856.6099999999997</v>
      </c>
      <c r="C53" s="4"/>
      <c r="D53" s="4"/>
      <c r="E53" s="4"/>
      <c r="F53" s="4"/>
      <c r="G53" s="4"/>
      <c r="H53" s="4"/>
      <c r="I53" s="5">
        <f>((((D53)+(E53))+(F53))+(G53))+(H53)</f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5">
        <f>(((((((((J53)+(K53))+(L53))+(M53))+(N53))+(O53))+(P53))+(Q53))+(R53))+(S53)</f>
        <v>0</v>
      </c>
      <c r="U53" s="4"/>
      <c r="V53" s="4"/>
      <c r="W53" s="4"/>
      <c r="X53" s="5">
        <f>(V53)+(W53)</f>
        <v>0</v>
      </c>
      <c r="Y53" s="4"/>
      <c r="Z53" s="4"/>
      <c r="AA53" s="5">
        <f>(Y53)+(Z53)</f>
        <v>0</v>
      </c>
      <c r="AB53" s="4"/>
      <c r="AC53" s="4"/>
      <c r="AD53" s="4"/>
      <c r="AE53" s="4"/>
      <c r="AF53" s="4"/>
      <c r="AG53" s="4"/>
      <c r="AH53" s="4"/>
      <c r="AI53" s="5">
        <f>((((((AB53)+(AC53))+(AD53))+(AE53))+(AF53))+(AG53))+(AH53)</f>
        <v>0</v>
      </c>
      <c r="AJ53" s="4"/>
      <c r="AK53" s="4"/>
      <c r="AL53" s="5">
        <f>(AJ53)+(AK53)</f>
        <v>0</v>
      </c>
      <c r="AM53" s="4"/>
      <c r="AN53" s="4"/>
      <c r="AO53" s="4"/>
      <c r="AP53" s="4"/>
      <c r="AQ53" s="4"/>
      <c r="AR53" s="4"/>
      <c r="AS53" s="4"/>
      <c r="AT53" s="4"/>
      <c r="AU53" s="4"/>
      <c r="AV53" s="5">
        <f>((((((AO53)+(AP53))+(AQ53))+(AR53))+(AS53))+(AT53))+(AU53)</f>
        <v>0</v>
      </c>
      <c r="AW53" s="4"/>
      <c r="AX53" s="5">
        <f>((((((((((((B53)+(C53))+(I53))+(T53))+(U53))+(X53))+(AA53))+(AI53))+(AL53))+(AM53))+(AN53))+(AV53))+(AW53)</f>
        <v>4856.6099999999997</v>
      </c>
    </row>
    <row r="54" spans="1:50" x14ac:dyDescent="0.25">
      <c r="A54" s="3" t="s">
        <v>96</v>
      </c>
      <c r="B54" s="6">
        <f t="shared" ref="B54:H54" si="36">(B52)+(B53)</f>
        <v>8268.31</v>
      </c>
      <c r="C54" s="6">
        <f t="shared" si="36"/>
        <v>0</v>
      </c>
      <c r="D54" s="6">
        <f t="shared" si="36"/>
        <v>0</v>
      </c>
      <c r="E54" s="6">
        <f t="shared" si="36"/>
        <v>0</v>
      </c>
      <c r="F54" s="6">
        <f t="shared" si="36"/>
        <v>0</v>
      </c>
      <c r="G54" s="6">
        <f t="shared" si="36"/>
        <v>0</v>
      </c>
      <c r="H54" s="6">
        <f t="shared" si="36"/>
        <v>0</v>
      </c>
      <c r="I54" s="6">
        <f>((((D54)+(E54))+(F54))+(G54))+(H54)</f>
        <v>0</v>
      </c>
      <c r="J54" s="6">
        <f t="shared" ref="J54:S54" si="37">(J52)+(J53)</f>
        <v>0</v>
      </c>
      <c r="K54" s="6">
        <f t="shared" si="37"/>
        <v>0</v>
      </c>
      <c r="L54" s="6">
        <f t="shared" si="37"/>
        <v>0</v>
      </c>
      <c r="M54" s="6">
        <f t="shared" si="37"/>
        <v>0</v>
      </c>
      <c r="N54" s="6">
        <f t="shared" si="37"/>
        <v>0</v>
      </c>
      <c r="O54" s="6">
        <f t="shared" si="37"/>
        <v>0</v>
      </c>
      <c r="P54" s="6">
        <f t="shared" si="37"/>
        <v>0</v>
      </c>
      <c r="Q54" s="6">
        <f t="shared" si="37"/>
        <v>0</v>
      </c>
      <c r="R54" s="6">
        <f t="shared" si="37"/>
        <v>0</v>
      </c>
      <c r="S54" s="6">
        <f t="shared" si="37"/>
        <v>0</v>
      </c>
      <c r="T54" s="6">
        <f>(((((((((J54)+(K54))+(L54))+(M54))+(N54))+(O54))+(P54))+(Q54))+(R54))+(S54)</f>
        <v>0</v>
      </c>
      <c r="U54" s="6">
        <f>(U52)+(U53)</f>
        <v>0</v>
      </c>
      <c r="V54" s="6">
        <f>(V52)+(V53)</f>
        <v>0</v>
      </c>
      <c r="W54" s="6">
        <f>(W52)+(W53)</f>
        <v>0</v>
      </c>
      <c r="X54" s="6">
        <f>(V54)+(W54)</f>
        <v>0</v>
      </c>
      <c r="Y54" s="6">
        <f>(Y52)+(Y53)</f>
        <v>0</v>
      </c>
      <c r="Z54" s="6">
        <f>(Z52)+(Z53)</f>
        <v>0</v>
      </c>
      <c r="AA54" s="6">
        <f>(Y54)+(Z54)</f>
        <v>0</v>
      </c>
      <c r="AB54" s="6">
        <f t="shared" ref="AB54:AH54" si="38">(AB52)+(AB53)</f>
        <v>0</v>
      </c>
      <c r="AC54" s="6">
        <f t="shared" si="38"/>
        <v>0</v>
      </c>
      <c r="AD54" s="6">
        <f t="shared" si="38"/>
        <v>0</v>
      </c>
      <c r="AE54" s="6">
        <f t="shared" si="38"/>
        <v>0</v>
      </c>
      <c r="AF54" s="6">
        <f t="shared" si="38"/>
        <v>0</v>
      </c>
      <c r="AG54" s="6">
        <f t="shared" si="38"/>
        <v>0</v>
      </c>
      <c r="AH54" s="6">
        <f t="shared" si="38"/>
        <v>0</v>
      </c>
      <c r="AI54" s="6">
        <f>((((((AB54)+(AC54))+(AD54))+(AE54))+(AF54))+(AG54))+(AH54)</f>
        <v>0</v>
      </c>
      <c r="AJ54" s="6">
        <f>(AJ52)+(AJ53)</f>
        <v>0</v>
      </c>
      <c r="AK54" s="6">
        <f>(AK52)+(AK53)</f>
        <v>0</v>
      </c>
      <c r="AL54" s="6">
        <f>(AJ54)+(AK54)</f>
        <v>0</v>
      </c>
      <c r="AM54" s="6">
        <f t="shared" ref="AM54:AU54" si="39">(AM52)+(AM53)</f>
        <v>0</v>
      </c>
      <c r="AN54" s="6">
        <f t="shared" si="39"/>
        <v>0</v>
      </c>
      <c r="AO54" s="6">
        <f t="shared" si="39"/>
        <v>0</v>
      </c>
      <c r="AP54" s="6">
        <f t="shared" si="39"/>
        <v>0</v>
      </c>
      <c r="AQ54" s="6">
        <f t="shared" si="39"/>
        <v>0</v>
      </c>
      <c r="AR54" s="6">
        <f t="shared" si="39"/>
        <v>0</v>
      </c>
      <c r="AS54" s="6">
        <f t="shared" si="39"/>
        <v>0</v>
      </c>
      <c r="AT54" s="6">
        <f t="shared" si="39"/>
        <v>0</v>
      </c>
      <c r="AU54" s="6">
        <f t="shared" si="39"/>
        <v>0</v>
      </c>
      <c r="AV54" s="6">
        <f>((((((AO54)+(AP54))+(AQ54))+(AR54))+(AS54))+(AT54))+(AU54)</f>
        <v>0</v>
      </c>
      <c r="AW54" s="6">
        <f>(AW52)+(AW53)</f>
        <v>0</v>
      </c>
      <c r="AX54" s="6">
        <f>((((((((((((B54)+(C54))+(I54))+(T54))+(U54))+(X54))+(AA54))+(AI54))+(AL54))+(AM54))+(AN54))+(AV54))+(AW54)</f>
        <v>8268.31</v>
      </c>
    </row>
    <row r="55" spans="1:50" x14ac:dyDescent="0.25">
      <c r="A55" s="3" t="s">
        <v>97</v>
      </c>
      <c r="B55" s="6">
        <f t="shared" ref="B55:H55" si="40">(B50)-(B54)</f>
        <v>8520.639999999994</v>
      </c>
      <c r="C55" s="6">
        <f t="shared" si="40"/>
        <v>0</v>
      </c>
      <c r="D55" s="6">
        <f t="shared" si="40"/>
        <v>0</v>
      </c>
      <c r="E55" s="6">
        <f t="shared" si="40"/>
        <v>0</v>
      </c>
      <c r="F55" s="6">
        <f t="shared" si="40"/>
        <v>0</v>
      </c>
      <c r="G55" s="6">
        <f t="shared" si="40"/>
        <v>0</v>
      </c>
      <c r="H55" s="6">
        <f t="shared" si="40"/>
        <v>0</v>
      </c>
      <c r="I55" s="6">
        <f>((((D55)+(E55))+(F55))+(G55))+(H55)</f>
        <v>0</v>
      </c>
      <c r="J55" s="6">
        <f t="shared" ref="J55:S55" si="41">(J50)-(J54)</f>
        <v>0</v>
      </c>
      <c r="K55" s="6">
        <f t="shared" si="41"/>
        <v>0</v>
      </c>
      <c r="L55" s="6">
        <f t="shared" si="41"/>
        <v>0</v>
      </c>
      <c r="M55" s="6">
        <f t="shared" si="41"/>
        <v>0</v>
      </c>
      <c r="N55" s="6">
        <f t="shared" si="41"/>
        <v>0</v>
      </c>
      <c r="O55" s="6">
        <f t="shared" si="41"/>
        <v>0</v>
      </c>
      <c r="P55" s="6">
        <f t="shared" si="41"/>
        <v>0</v>
      </c>
      <c r="Q55" s="6">
        <f t="shared" si="41"/>
        <v>0</v>
      </c>
      <c r="R55" s="6">
        <f t="shared" si="41"/>
        <v>0</v>
      </c>
      <c r="S55" s="6">
        <f t="shared" si="41"/>
        <v>0</v>
      </c>
      <c r="T55" s="6">
        <f>(((((((((J55)+(K55))+(L55))+(M55))+(N55))+(O55))+(P55))+(Q55))+(R55))+(S55)</f>
        <v>0</v>
      </c>
      <c r="U55" s="6">
        <f>(U50)-(U54)</f>
        <v>0</v>
      </c>
      <c r="V55" s="6">
        <f>(V50)-(V54)</f>
        <v>0</v>
      </c>
      <c r="W55" s="6">
        <f>(W50)-(W54)</f>
        <v>0</v>
      </c>
      <c r="X55" s="6">
        <f>(V55)+(W55)</f>
        <v>0</v>
      </c>
      <c r="Y55" s="6">
        <f>(Y50)-(Y54)</f>
        <v>0</v>
      </c>
      <c r="Z55" s="6">
        <f>(Z50)-(Z54)</f>
        <v>0</v>
      </c>
      <c r="AA55" s="6">
        <f>(Y55)+(Z55)</f>
        <v>0</v>
      </c>
      <c r="AB55" s="6">
        <f t="shared" ref="AB55:AH55" si="42">(AB50)-(AB54)</f>
        <v>0</v>
      </c>
      <c r="AC55" s="6">
        <f t="shared" si="42"/>
        <v>0</v>
      </c>
      <c r="AD55" s="6">
        <f t="shared" si="42"/>
        <v>0</v>
      </c>
      <c r="AE55" s="6">
        <f t="shared" si="42"/>
        <v>0</v>
      </c>
      <c r="AF55" s="6">
        <f t="shared" si="42"/>
        <v>0</v>
      </c>
      <c r="AG55" s="6">
        <f t="shared" si="42"/>
        <v>0</v>
      </c>
      <c r="AH55" s="6">
        <f t="shared" si="42"/>
        <v>0</v>
      </c>
      <c r="AI55" s="6">
        <f>((((((AB55)+(AC55))+(AD55))+(AE55))+(AF55))+(AG55))+(AH55)</f>
        <v>0</v>
      </c>
      <c r="AJ55" s="6">
        <f>(AJ50)-(AJ54)</f>
        <v>0</v>
      </c>
      <c r="AK55" s="6">
        <f>(AK50)-(AK54)</f>
        <v>0</v>
      </c>
      <c r="AL55" s="6">
        <f>(AJ55)+(AK55)</f>
        <v>0</v>
      </c>
      <c r="AM55" s="6">
        <f t="shared" ref="AM55:AU55" si="43">(AM50)-(AM54)</f>
        <v>0</v>
      </c>
      <c r="AN55" s="6">
        <f t="shared" si="43"/>
        <v>0</v>
      </c>
      <c r="AO55" s="6">
        <f t="shared" si="43"/>
        <v>0</v>
      </c>
      <c r="AP55" s="6">
        <f t="shared" si="43"/>
        <v>0</v>
      </c>
      <c r="AQ55" s="6">
        <f t="shared" si="43"/>
        <v>0</v>
      </c>
      <c r="AR55" s="6">
        <f t="shared" si="43"/>
        <v>0</v>
      </c>
      <c r="AS55" s="6">
        <f t="shared" si="43"/>
        <v>0</v>
      </c>
      <c r="AT55" s="6">
        <f t="shared" si="43"/>
        <v>0</v>
      </c>
      <c r="AU55" s="6">
        <f t="shared" si="43"/>
        <v>0</v>
      </c>
      <c r="AV55" s="6">
        <f>((((((AO55)+(AP55))+(AQ55))+(AR55))+(AS55))+(AT55))+(AU55)</f>
        <v>0</v>
      </c>
      <c r="AW55" s="6">
        <f>(AW50)-(AW54)</f>
        <v>0</v>
      </c>
      <c r="AX55" s="6">
        <f>((((((((((((B55)+(C55))+(I55))+(T55))+(U55))+(X55))+(AA55))+(AI55))+(AL55))+(AM55))+(AN55))+(AV55))+(AW55)</f>
        <v>8520.639999999994</v>
      </c>
    </row>
    <row r="56" spans="1:50" x14ac:dyDescent="0.25">
      <c r="A56" s="3" t="s">
        <v>98</v>
      </c>
      <c r="B56" s="7">
        <f t="shared" ref="B56:H56" si="44">(B44)+(B55)</f>
        <v>-122808.86999999998</v>
      </c>
      <c r="C56" s="7">
        <f t="shared" si="44"/>
        <v>-52.83</v>
      </c>
      <c r="D56" s="7">
        <f t="shared" si="44"/>
        <v>0</v>
      </c>
      <c r="E56" s="7">
        <f t="shared" si="44"/>
        <v>-23592.92</v>
      </c>
      <c r="F56" s="7">
        <f t="shared" si="44"/>
        <v>-3806.34</v>
      </c>
      <c r="G56" s="7">
        <f t="shared" si="44"/>
        <v>-5720</v>
      </c>
      <c r="H56" s="7">
        <f t="shared" si="44"/>
        <v>41996.639999999999</v>
      </c>
      <c r="I56" s="7">
        <f>((((D56)+(E56))+(F56))+(G56))+(H56)</f>
        <v>8877.3800000000047</v>
      </c>
      <c r="J56" s="7">
        <f t="shared" ref="J56:S56" si="45">(J44)+(J55)</f>
        <v>277158.07</v>
      </c>
      <c r="K56" s="7">
        <f t="shared" si="45"/>
        <v>-5592.42</v>
      </c>
      <c r="L56" s="7">
        <f t="shared" si="45"/>
        <v>-7839.25</v>
      </c>
      <c r="M56" s="7">
        <f t="shared" si="45"/>
        <v>-5756.93</v>
      </c>
      <c r="N56" s="7">
        <f t="shared" si="45"/>
        <v>-9406.5300000000007</v>
      </c>
      <c r="O56" s="7">
        <f t="shared" si="45"/>
        <v>-11428.7</v>
      </c>
      <c r="P56" s="7">
        <f t="shared" si="45"/>
        <v>-8518.39</v>
      </c>
      <c r="Q56" s="7">
        <f t="shared" si="45"/>
        <v>-11500.29</v>
      </c>
      <c r="R56" s="7">
        <f t="shared" si="45"/>
        <v>-7139.22</v>
      </c>
      <c r="S56" s="7">
        <f t="shared" si="45"/>
        <v>-9347.32</v>
      </c>
      <c r="T56" s="7">
        <f>(((((((((J56)+(K56))+(L56))+(M56))+(N56))+(O56))+(P56))+(Q56))+(R56))+(S56)</f>
        <v>200629.02000000002</v>
      </c>
      <c r="U56" s="7">
        <f>(U44)+(U55)</f>
        <v>-4864</v>
      </c>
      <c r="V56" s="7">
        <f>(V44)+(V55)</f>
        <v>2700.7300000000005</v>
      </c>
      <c r="W56" s="7">
        <f>(W44)+(W55)</f>
        <v>142.76000000000022</v>
      </c>
      <c r="X56" s="7">
        <f>(V56)+(W56)</f>
        <v>2843.4900000000007</v>
      </c>
      <c r="Y56" s="7">
        <f>(Y44)+(Y55)</f>
        <v>0</v>
      </c>
      <c r="Z56" s="7">
        <f>(Z44)+(Z55)</f>
        <v>-5228.74</v>
      </c>
      <c r="AA56" s="7">
        <f>(Y56)+(Z56)</f>
        <v>-5228.74</v>
      </c>
      <c r="AB56" s="7">
        <f t="shared" ref="AB56:AH56" si="46">(AB44)+(AB55)</f>
        <v>-12345.199999999999</v>
      </c>
      <c r="AC56" s="7">
        <f t="shared" si="46"/>
        <v>-49828.88</v>
      </c>
      <c r="AD56" s="7">
        <f t="shared" si="46"/>
        <v>-16004.099999999999</v>
      </c>
      <c r="AE56" s="7">
        <f t="shared" si="46"/>
        <v>-3737.63</v>
      </c>
      <c r="AF56" s="7">
        <f t="shared" si="46"/>
        <v>-7317.61</v>
      </c>
      <c r="AG56" s="7">
        <f t="shared" si="46"/>
        <v>-24333.280000000002</v>
      </c>
      <c r="AH56" s="7">
        <f t="shared" si="46"/>
        <v>-4180.83</v>
      </c>
      <c r="AI56" s="7">
        <f>((((((AB56)+(AC56))+(AD56))+(AE56))+(AF56))+(AG56))+(AH56)</f>
        <v>-117747.53</v>
      </c>
      <c r="AJ56" s="7">
        <f>(AJ44)+(AJ55)</f>
        <v>-16460.21</v>
      </c>
      <c r="AK56" s="7">
        <f>(AK44)+(AK55)</f>
        <v>-2672.3</v>
      </c>
      <c r="AL56" s="7">
        <f>(AJ56)+(AK56)</f>
        <v>-19132.509999999998</v>
      </c>
      <c r="AM56" s="7">
        <f t="shared" ref="AM56:AU56" si="47">(AM44)+(AM55)</f>
        <v>-1000</v>
      </c>
      <c r="AN56" s="7">
        <f t="shared" si="47"/>
        <v>60761.67</v>
      </c>
      <c r="AO56" s="7">
        <f t="shared" si="47"/>
        <v>5900</v>
      </c>
      <c r="AP56" s="7">
        <f t="shared" si="47"/>
        <v>-9328.4499999999989</v>
      </c>
      <c r="AQ56" s="7">
        <f t="shared" si="47"/>
        <v>-1870.63</v>
      </c>
      <c r="AR56" s="7">
        <f t="shared" si="47"/>
        <v>-6251.4100000000008</v>
      </c>
      <c r="AS56" s="7">
        <f t="shared" si="47"/>
        <v>-170.82</v>
      </c>
      <c r="AT56" s="7">
        <f t="shared" si="47"/>
        <v>-397.81000000000006</v>
      </c>
      <c r="AU56" s="7">
        <f t="shared" si="47"/>
        <v>23147.829999999998</v>
      </c>
      <c r="AV56" s="7">
        <f>((((((AO56)+(AP56))+(AQ56))+(AR56))+(AS56))+(AT56))+(AU56)</f>
        <v>11028.71</v>
      </c>
      <c r="AW56" s="7">
        <f>(AW44)+(AW55)</f>
        <v>-200.32999999999998</v>
      </c>
      <c r="AX56" s="7">
        <f>((((((((((((B56)+(C56))+(I56))+(T56))+(U56))+(X56))+(AA56))+(AI56))+(AL56))+(AM56))+(AN56))+(AV56))+(AW56)</f>
        <v>13105.460000000045</v>
      </c>
    </row>
    <row r="57" spans="1:50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60" spans="1:50" x14ac:dyDescent="0.25">
      <c r="A60" s="8" t="s">
        <v>99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</sheetData>
  <mergeCells count="4">
    <mergeCell ref="A60:AX60"/>
    <mergeCell ref="A1:AX1"/>
    <mergeCell ref="A2:AX2"/>
    <mergeCell ref="A3:AX3"/>
  </mergeCells>
  <pageMargins left="0.7" right="0.7" top="0.75" bottom="0.75" header="0.3" footer="0.3"/>
  <pageSetup scale="54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Dewey</cp:lastModifiedBy>
  <cp:lastPrinted>2019-09-20T21:37:52Z</cp:lastPrinted>
  <dcterms:created xsi:type="dcterms:W3CDTF">2019-09-20T21:27:20Z</dcterms:created>
  <dcterms:modified xsi:type="dcterms:W3CDTF">2019-09-20T21:38:04Z</dcterms:modified>
</cp:coreProperties>
</file>